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66925"/>
  <mc:AlternateContent xmlns:mc="http://schemas.openxmlformats.org/markup-compatibility/2006">
    <mc:Choice Requires="x15">
      <x15ac:absPath xmlns:x15ac="http://schemas.microsoft.com/office/spreadsheetml/2010/11/ac" url="P:\ENC\13 - ENC TOUS CHAMPS CONFONDUS\31-AO utilisation données\15_ Relecture interne ATIH par les CdG\"/>
    </mc:Choice>
  </mc:AlternateContent>
  <xr:revisionPtr revIDLastSave="0" documentId="13_ncr:1_{6AF965CD-5F10-4A8E-A126-1AC363F8FE01}" xr6:coauthVersionLast="36" xr6:coauthVersionMax="36" xr10:uidLastSave="{00000000-0000-0000-0000-000000000000}"/>
  <bookViews>
    <workbookView xWindow="0" yWindow="0" windowWidth="19200" windowHeight="11388" xr2:uid="{00000000-000D-0000-FFFF-FFFF00000000}"/>
  </bookViews>
  <sheets>
    <sheet name="Fiche de contenu détaillée" sheetId="1" r:id="rId1"/>
    <sheet name="SAISIE DES DONNEES LM" sheetId="2" r:id="rId2"/>
    <sheet name="Maquette LM" sheetId="3" r:id="rId3"/>
  </sheets>
  <definedNames>
    <definedName name="Titre_Graph_LM" localSheetId="2">'Maquette LM'!$V$7</definedName>
    <definedName name="Titre_Graph_PT">#REF!</definedName>
    <definedName name="_xlnm.Print_Area" localSheetId="0">'Fiche de contenu détaillée'!$B$1:$K$96</definedName>
    <definedName name="_xlnm.Print_Area" localSheetId="2">'Maquette LM'!$B$1:$AA$83</definedName>
    <definedName name="_xlnm.Print_Area" localSheetId="1">'SAISIE DES DONNEES LM'!$A$1:$J$124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3" i="2" l="1"/>
  <c r="J119" i="2"/>
  <c r="J115" i="2"/>
  <c r="J111" i="2"/>
  <c r="J107" i="2"/>
  <c r="J94" i="2"/>
  <c r="H92" i="2"/>
  <c r="G92" i="2"/>
  <c r="F92" i="2"/>
  <c r="E92" i="2"/>
  <c r="D92" i="2"/>
  <c r="J91" i="2"/>
  <c r="J90" i="2"/>
  <c r="J89" i="2"/>
  <c r="J88" i="2"/>
  <c r="J87" i="2"/>
  <c r="J92" i="2" s="1"/>
  <c r="J85" i="2"/>
  <c r="J84" i="2"/>
  <c r="J83" i="2"/>
  <c r="J82" i="2"/>
  <c r="J81" i="2"/>
  <c r="J80" i="2"/>
  <c r="J79" i="2"/>
  <c r="H79" i="2"/>
  <c r="G79" i="2"/>
  <c r="F79" i="2"/>
  <c r="E79" i="2"/>
  <c r="D79" i="2"/>
  <c r="H78" i="2"/>
  <c r="G78" i="2"/>
  <c r="F78" i="2"/>
  <c r="E78" i="2"/>
  <c r="D78" i="2"/>
  <c r="J77" i="2"/>
  <c r="J76" i="2"/>
  <c r="J75" i="2"/>
  <c r="J78" i="2" s="1"/>
  <c r="J74" i="2"/>
  <c r="J73" i="2"/>
  <c r="H73" i="2"/>
  <c r="G73" i="2"/>
  <c r="F73" i="2"/>
  <c r="E73" i="2"/>
  <c r="E68" i="2" s="1"/>
  <c r="E86" i="2" s="1"/>
  <c r="E93" i="2" s="1"/>
  <c r="D73" i="2"/>
  <c r="J72" i="2"/>
  <c r="J71" i="2"/>
  <c r="J70" i="2"/>
  <c r="J69" i="2" s="1"/>
  <c r="J68" i="2" s="1"/>
  <c r="J86" i="2" s="1"/>
  <c r="J93" i="2" s="1"/>
  <c r="H69" i="2"/>
  <c r="G69" i="2"/>
  <c r="F69" i="2"/>
  <c r="F68" i="2" s="1"/>
  <c r="F86" i="2" s="1"/>
  <c r="F93" i="2" s="1"/>
  <c r="E69" i="2"/>
  <c r="D69" i="2"/>
  <c r="H68" i="2"/>
  <c r="H86" i="2" s="1"/>
  <c r="H93" i="2" s="1"/>
  <c r="G68" i="2"/>
  <c r="G86" i="2" s="1"/>
  <c r="G93" i="2" s="1"/>
  <c r="D68" i="2"/>
  <c r="D86" i="2" s="1"/>
  <c r="D93" i="2" s="1"/>
  <c r="J60" i="2"/>
  <c r="J56" i="2"/>
  <c r="J52" i="2"/>
  <c r="J44" i="2"/>
  <c r="J31" i="2"/>
  <c r="H29" i="2"/>
  <c r="G29" i="2"/>
  <c r="F29" i="2"/>
  <c r="E29" i="2"/>
  <c r="D29" i="2"/>
  <c r="J28" i="2"/>
  <c r="J27" i="2"/>
  <c r="J26" i="2"/>
  <c r="J29" i="2" s="1"/>
  <c r="J25" i="2"/>
  <c r="J24" i="2"/>
  <c r="J22" i="2"/>
  <c r="J21" i="2"/>
  <c r="J20" i="2"/>
  <c r="J19" i="2"/>
  <c r="J18" i="2"/>
  <c r="J17" i="2"/>
  <c r="H16" i="2"/>
  <c r="G16" i="2"/>
  <c r="F16" i="2"/>
  <c r="E16" i="2"/>
  <c r="D16" i="2"/>
  <c r="H15" i="2"/>
  <c r="G15" i="2"/>
  <c r="F15" i="2"/>
  <c r="E15" i="2"/>
  <c r="D15" i="2"/>
  <c r="J14" i="2"/>
  <c r="J13" i="2"/>
  <c r="J12" i="2"/>
  <c r="J15" i="2" s="1"/>
  <c r="J11" i="2"/>
  <c r="J16" i="2" s="1"/>
  <c r="H10" i="2"/>
  <c r="H5" i="2" s="1"/>
  <c r="H23" i="2" s="1"/>
  <c r="G10" i="2"/>
  <c r="F10" i="2"/>
  <c r="E10" i="2"/>
  <c r="D10" i="2"/>
  <c r="D5" i="2" s="1"/>
  <c r="D23" i="2" s="1"/>
  <c r="J9" i="2"/>
  <c r="J8" i="2"/>
  <c r="J7" i="2"/>
  <c r="J6" i="2"/>
  <c r="H6" i="2"/>
  <c r="G6" i="2"/>
  <c r="F6" i="2"/>
  <c r="E6" i="2"/>
  <c r="E5" i="2" s="1"/>
  <c r="E23" i="2" s="1"/>
  <c r="D6" i="2"/>
  <c r="G5" i="2"/>
  <c r="G23" i="2" s="1"/>
  <c r="F5" i="2"/>
  <c r="F23" i="2" s="1"/>
  <c r="E37" i="2" l="1"/>
  <c r="E30" i="2"/>
  <c r="E36" i="2" s="1"/>
  <c r="D37" i="2"/>
  <c r="D30" i="2"/>
  <c r="D36" i="2" s="1"/>
  <c r="H37" i="2"/>
  <c r="H30" i="2"/>
  <c r="H36" i="2" s="1"/>
  <c r="F30" i="2"/>
  <c r="F36" i="2" s="1"/>
  <c r="F37" i="2"/>
  <c r="G30" i="2"/>
  <c r="G36" i="2" s="1"/>
  <c r="G37" i="2"/>
  <c r="J10" i="2"/>
  <c r="J5" i="2" s="1"/>
  <c r="J23" i="2" s="1"/>
  <c r="V7" i="3"/>
  <c r="J37" i="2" l="1"/>
  <c r="J30" i="2"/>
  <c r="J36" i="2" s="1"/>
  <c r="J47" i="3" l="1"/>
  <c r="J46" i="3"/>
  <c r="J43" i="3"/>
  <c r="J42" i="3"/>
  <c r="J39" i="3"/>
  <c r="J38" i="3"/>
  <c r="F47" i="3"/>
  <c r="F46" i="3"/>
  <c r="F43" i="3"/>
  <c r="F42" i="3"/>
  <c r="F39" i="3"/>
  <c r="F38" i="3"/>
  <c r="R47" i="3"/>
  <c r="R39" i="3"/>
  <c r="J27" i="3"/>
  <c r="J26" i="3"/>
  <c r="J25" i="3"/>
  <c r="J22" i="3"/>
  <c r="J21" i="3"/>
  <c r="J20" i="3"/>
  <c r="J32" i="3"/>
  <c r="F32" i="3"/>
  <c r="F27" i="3"/>
  <c r="F26" i="3"/>
  <c r="F25" i="3"/>
  <c r="F22" i="3"/>
  <c r="F21" i="3"/>
  <c r="F20" i="3"/>
  <c r="J15" i="3"/>
  <c r="J14" i="3"/>
  <c r="J13" i="3"/>
  <c r="B4" i="3"/>
  <c r="R11" i="3"/>
  <c r="C14" i="3"/>
  <c r="F15" i="3"/>
  <c r="F14" i="3"/>
  <c r="F13" i="3"/>
  <c r="F48" i="3" l="1"/>
  <c r="O9" i="3"/>
  <c r="J9" i="3"/>
  <c r="F9" i="3"/>
  <c r="J23" i="3" l="1"/>
  <c r="F24" i="3"/>
  <c r="H24" i="3" s="1"/>
  <c r="F23" i="3"/>
  <c r="F28" i="3"/>
  <c r="H28" i="3" s="1"/>
  <c r="J24" i="3"/>
  <c r="L24" i="3" s="1"/>
  <c r="J28" i="3"/>
  <c r="L28" i="3" s="1"/>
  <c r="O15" i="3"/>
  <c r="O25" i="3"/>
  <c r="O26" i="3"/>
  <c r="O13" i="3"/>
  <c r="L20" i="3"/>
  <c r="O22" i="3"/>
  <c r="O39" i="3"/>
  <c r="O21" i="3"/>
  <c r="H27" i="3"/>
  <c r="J48" i="3"/>
  <c r="O48" i="3" s="1"/>
  <c r="H20" i="3"/>
  <c r="H21" i="3"/>
  <c r="H22" i="3"/>
  <c r="P32" i="3"/>
  <c r="P39" i="3"/>
  <c r="P42" i="3"/>
  <c r="P46" i="3"/>
  <c r="L21" i="3"/>
  <c r="L22" i="3"/>
  <c r="H26" i="3"/>
  <c r="P38" i="3"/>
  <c r="P43" i="3"/>
  <c r="P47" i="3"/>
  <c r="O20" i="3"/>
  <c r="H25" i="3"/>
  <c r="O27" i="3"/>
  <c r="F40" i="3"/>
  <c r="F44" i="3"/>
  <c r="P13" i="3"/>
  <c r="P20" i="3"/>
  <c r="P21" i="3"/>
  <c r="P22" i="3"/>
  <c r="P25" i="3"/>
  <c r="P26" i="3"/>
  <c r="P27" i="3"/>
  <c r="O32" i="3"/>
  <c r="O38" i="3"/>
  <c r="J40" i="3"/>
  <c r="J44" i="3"/>
  <c r="L25" i="3"/>
  <c r="L26" i="3"/>
  <c r="L27" i="3"/>
  <c r="O42" i="3"/>
  <c r="O43" i="3"/>
  <c r="O46" i="3"/>
  <c r="O47" i="3"/>
  <c r="O23" i="3" l="1"/>
  <c r="P23" i="3"/>
  <c r="L23" i="3"/>
  <c r="H23" i="3"/>
  <c r="O24" i="3"/>
  <c r="O28" i="3"/>
  <c r="P24" i="3"/>
  <c r="F19" i="3"/>
  <c r="J19" i="3"/>
  <c r="J30" i="3" s="1"/>
  <c r="L30" i="3" s="1"/>
  <c r="J11" i="3" s="1"/>
  <c r="P28" i="3"/>
  <c r="P48" i="3"/>
  <c r="P40" i="3"/>
  <c r="O40" i="3"/>
  <c r="P44" i="3"/>
  <c r="O44" i="3"/>
  <c r="O19" i="3" l="1"/>
  <c r="F31" i="3"/>
  <c r="B13" i="3" s="1"/>
  <c r="P19" i="3"/>
  <c r="H19" i="3"/>
  <c r="M20" i="3"/>
  <c r="M24" i="3"/>
  <c r="M25" i="3"/>
  <c r="F30" i="3"/>
  <c r="H30" i="3" s="1"/>
  <c r="F11" i="3" s="1"/>
  <c r="I21" i="3" s="1"/>
  <c r="C30" i="3"/>
  <c r="J31" i="3"/>
  <c r="L31" i="3" s="1"/>
  <c r="L19" i="3"/>
  <c r="M19" i="3" s="1"/>
  <c r="M27" i="3"/>
  <c r="M26" i="3"/>
  <c r="M22" i="3"/>
  <c r="M28" i="3"/>
  <c r="M21" i="3"/>
  <c r="M23" i="3"/>
  <c r="H31" i="3" l="1"/>
  <c r="I26" i="3"/>
  <c r="I19" i="3"/>
  <c r="I27" i="3"/>
  <c r="I24" i="3"/>
  <c r="I22" i="3"/>
  <c r="I20" i="3"/>
  <c r="O14" i="3"/>
  <c r="B16" i="3"/>
  <c r="I23" i="3"/>
  <c r="P30" i="3"/>
  <c r="O31" i="3"/>
  <c r="I25" i="3"/>
  <c r="O30" i="3"/>
  <c r="P11" i="3"/>
  <c r="I28" i="3"/>
  <c r="O11" i="3"/>
  <c r="P31" i="3"/>
</calcChain>
</file>

<file path=xl/sharedStrings.xml><?xml version="1.0" encoding="utf-8"?>
<sst xmlns="http://schemas.openxmlformats.org/spreadsheetml/2006/main" count="365" uniqueCount="181">
  <si>
    <t>1) Pourquoi utiliser ce contenu ?</t>
  </si>
  <si>
    <t>2) Les objectifs de ce contenu</t>
  </si>
  <si>
    <t>3) Les données</t>
  </si>
  <si>
    <t>4) Les étapes</t>
  </si>
  <si>
    <t>5) Les points de vigilance</t>
  </si>
  <si>
    <t>6) Annexes : pour aller plus loin</t>
  </si>
  <si>
    <t>7) Autre contenu du guide qui peut vous intéresser</t>
  </si>
  <si>
    <t>Index, mots-clés et repères</t>
  </si>
  <si>
    <t>MCO</t>
  </si>
  <si>
    <t>SSR</t>
  </si>
  <si>
    <t>Psychiatrie</t>
  </si>
  <si>
    <t>HAD</t>
  </si>
  <si>
    <t>p</t>
  </si>
  <si>
    <t>0,5 j</t>
  </si>
  <si>
    <t>1 j</t>
  </si>
  <si>
    <t>&gt; 1 j</t>
  </si>
  <si>
    <t xml:space="preserve">1h </t>
  </si>
  <si>
    <t>Débutant</t>
  </si>
  <si>
    <t>Confirmé</t>
  </si>
  <si>
    <t xml:space="preserve">Mots-clés : </t>
  </si>
  <si>
    <t>Ce contenu est utilisable en :</t>
  </si>
  <si>
    <t>Temps estimé de mise en pratique :</t>
  </si>
  <si>
    <t>Convient au niveau :</t>
  </si>
  <si>
    <t>Directeur général</t>
  </si>
  <si>
    <t>Destinataires des données :</t>
  </si>
  <si>
    <t>Autres directeurs</t>
  </si>
  <si>
    <t>Pôles / Services</t>
  </si>
  <si>
    <t>GHT / groupe</t>
  </si>
  <si>
    <t>Retour Fiche</t>
  </si>
  <si>
    <t>Sources de données</t>
  </si>
  <si>
    <t>Titre 1 : Total Charges de personnel</t>
  </si>
  <si>
    <t>Charges de Personnel Médical</t>
  </si>
  <si>
    <t>Onglet "Synth SA Auxiliaires" VALID RTC</t>
  </si>
  <si>
    <t>- Charges de personnel médical extérieur</t>
  </si>
  <si>
    <t>- Charges de personnel médical salarié (hors interne)</t>
  </si>
  <si>
    <t>- Charges de personnel interne et étudiants salariés</t>
  </si>
  <si>
    <t>Charges de Personnel Non Médical</t>
  </si>
  <si>
    <t>- Charges de personnel autre extérieur</t>
  </si>
  <si>
    <t>- Charges de personnel autre salarié</t>
  </si>
  <si>
    <t>- Charges de personnel soignant extérieur</t>
  </si>
  <si>
    <t>- Charges de personnel soignant salarié</t>
  </si>
  <si>
    <t>- Charges de Personnel Non Médical salarié</t>
  </si>
  <si>
    <t>- Charges de Personnel Non Médical extérieur</t>
  </si>
  <si>
    <t>Titre 2 : Charges à caractère médical</t>
  </si>
  <si>
    <t>Titre 3 : Charges à caractère hôtelier et général</t>
  </si>
  <si>
    <t>Titre 4 : Charges d'amortissement, de provisions et dépréciations, financières et exceptionnelles</t>
  </si>
  <si>
    <t>Charges sur exercice antérieur de personnel (PA)</t>
  </si>
  <si>
    <t>Charges sur exercice antérieur de personnel (PS)</t>
  </si>
  <si>
    <t>Charges sur exercice antérieur de personnel (PM)</t>
  </si>
  <si>
    <t>Total des charges brutes (T1 + T2 + T3 + T4 )</t>
  </si>
  <si>
    <t>Produits hors comptes se terminant en 9 des comptes 63 et 64</t>
  </si>
  <si>
    <t>Remb. sur rémunérat° ou sur charges sociales PM (cptes 6319, 6339, 6419, 6429, 6459, 6479, 6489,649)</t>
  </si>
  <si>
    <t>Remb. sur rémunérat° ou sur charges sociales PI (cptes 6319, 6339, 6419, 6429, 6459, 6479, 6489,649)</t>
  </si>
  <si>
    <t>Remb. sur rémunérat° ou sur charges sociales PS (cptes 6319, 6339, 6419, 6429, 6459, 6479, 6489,6492)</t>
  </si>
  <si>
    <t>Remb. sur rémunérat° ou sur charges sociales PA (cptes 6319, 6339, 6419, 6429, 6459, 6479, 6489,6492)</t>
  </si>
  <si>
    <t>Total des produits déductibles</t>
  </si>
  <si>
    <t>Total charges nettes (T1 + T2 + T3 + T4 - produits déductibles)</t>
  </si>
  <si>
    <t>Montant affecté aux act. subs. et RCRA</t>
  </si>
  <si>
    <t>Nature de l'UO préconisée</t>
  </si>
  <si>
    <t>Euros de charges brutes</t>
  </si>
  <si>
    <t>Nature de l'UO retenue</t>
  </si>
  <si>
    <t>Mode de fonctionnement</t>
  </si>
  <si>
    <t>Totalement internalisé</t>
  </si>
  <si>
    <t>Nombre d'UO</t>
  </si>
  <si>
    <t>Coût d'UO net</t>
  </si>
  <si>
    <t>Coût d'UO LGG et LM : (Total des charges brutes/ Nb d'UO produites) ; Coût d'UO de SAMT : (Total des charges brutes + LM via les clés / Nb d'UO produites)</t>
  </si>
  <si>
    <t>Onglet "Coût uo des SA Auxiliaires" VALID RTC</t>
  </si>
  <si>
    <t>Coût d'UO du référentiel RTC 2018 de la catégorie de l'ES</t>
  </si>
  <si>
    <t>Onglet "Contrôle ETPR" VALID RTC</t>
  </si>
  <si>
    <t>Coût de PM du référentiel RTC 2018 de la catégorie de l'ES</t>
  </si>
  <si>
    <t>Coût de PNM du référentiel RTC 2018 de la catégorie de l'ES</t>
  </si>
  <si>
    <t>Charges PM_REMU nettées des comptes 6...9</t>
  </si>
  <si>
    <t>ETPR Personnel Médical (hors internes et étudiants)</t>
  </si>
  <si>
    <t>Coût moyen du Personnel Médical salarié (hors interne et étudiant)</t>
  </si>
  <si>
    <t>Charges PI_REMU nettées des comptes 6...9</t>
  </si>
  <si>
    <t>ETPR Personnel interne et étudiant salarié</t>
  </si>
  <si>
    <t>Coût moyen du Personnel interne et étudiant salarié</t>
  </si>
  <si>
    <t>Charges PS_REMU nettées des comptes 6...9</t>
  </si>
  <si>
    <t>ETPR Personnel Soignant</t>
  </si>
  <si>
    <t>Coût moyen du Personnel Soignant</t>
  </si>
  <si>
    <t>Charges PA_REMU nettées des comptes 6...9</t>
  </si>
  <si>
    <t>ETPR Personnel Autre</t>
  </si>
  <si>
    <t>Coût moyen du Personnel autre salarié</t>
  </si>
  <si>
    <t>Charges PNM_REMU nettées des comptes 6...9</t>
  </si>
  <si>
    <t>ETPR Personnel Non Médical</t>
  </si>
  <si>
    <t>Coût moyen du Personnel Non Médical salarié</t>
  </si>
  <si>
    <t>N-1</t>
  </si>
  <si>
    <t>Onglet "Synth SA Auxiliaires" VALID RTC N-1</t>
  </si>
  <si>
    <t>Onglet "Coût uo des SA Auxiliaires" VALID RTC N-1</t>
  </si>
  <si>
    <t>Onglet "Contrôle ETPR" VALID RTC N-1</t>
  </si>
  <si>
    <t>Moyenne
de la catégorie d'ES
RTC 2018</t>
  </si>
  <si>
    <t>En %</t>
  </si>
  <si>
    <t>En valeur</t>
  </si>
  <si>
    <t>Coût de l'UO</t>
  </si>
  <si>
    <t>Nb d'UO (Cf. règles de comptage)</t>
  </si>
  <si>
    <t>Nature de l'UO :</t>
  </si>
  <si>
    <t>Mode de fonctionnement :</t>
  </si>
  <si>
    <t>Analyses des coûts unitaire de l'UO décomposés par postes de dépenses</t>
  </si>
  <si>
    <t>Total</t>
  </si>
  <si>
    <t>par UO</t>
  </si>
  <si>
    <t>Titres 1 : Charges de personnel</t>
  </si>
  <si>
    <t>Dont PM salarié</t>
  </si>
  <si>
    <t>Dont personnel Internes et étudiants</t>
  </si>
  <si>
    <t>Dont PM extérieur</t>
  </si>
  <si>
    <t>Dont PNM salarié</t>
  </si>
  <si>
    <t>Dont PNM extérieur</t>
  </si>
  <si>
    <t>Titre 2 : Charges à caractére médical</t>
  </si>
  <si>
    <t>Titre 3 : Charges à caractére hôtelier et général</t>
  </si>
  <si>
    <t>Titre 4 : Charges à caractére financier</t>
  </si>
  <si>
    <t>Total produits déductibles</t>
  </si>
  <si>
    <t>Total des charges brutes</t>
  </si>
  <si>
    <t>Total des charges nettes</t>
  </si>
  <si>
    <t>Ratios et indicateurs de productivité RH</t>
  </si>
  <si>
    <t>PM</t>
  </si>
  <si>
    <t>Nb d'ETP PM (hors int. + étud)</t>
  </si>
  <si>
    <t>Coût moyen du Personnel Médical (hors 6721 PM)</t>
  </si>
  <si>
    <t>Nb d'UO produites / ETP PM (hors internes et étudiants)</t>
  </si>
  <si>
    <t>Int-Etud</t>
  </si>
  <si>
    <t>Nb d'ETP Internes et étudiants</t>
  </si>
  <si>
    <t>Coût moyen du Personnel Internes et étudiants (hors 6721 PM)</t>
  </si>
  <si>
    <t>Nb d'UO produites / ETP Internes et étudiants</t>
  </si>
  <si>
    <t>PNM</t>
  </si>
  <si>
    <t>Nb ETP PNM</t>
  </si>
  <si>
    <t>Coût moyen du Personnel non Médical (hors 6721 PNM)</t>
  </si>
  <si>
    <t>Nb d'UO produites / ETP PNM</t>
  </si>
  <si>
    <t>Analyses et/ou Commentaires</t>
  </si>
  <si>
    <t>- les évolutions de ces indicateurs par rapport à l'année N-1</t>
  </si>
  <si>
    <t>- le coût moyen PM et PNM du référentiel RTC de l'année N-1 de la catégorie de l'établissement et l'écart en % par rapport à ce dernier</t>
  </si>
  <si>
    <t>- le coût d'unité d'œuvre du référentiel RTC de l'année N-1 de la catégorie de l'établissement et l'écart en % par rapport à ce dernier</t>
  </si>
  <si>
    <t>- la structure de coût</t>
  </si>
  <si>
    <t>Pharmacie</t>
  </si>
  <si>
    <t>Stérilisation</t>
  </si>
  <si>
    <t>Hygiène hospitalière et vigilances</t>
  </si>
  <si>
    <t>Autre logistique médicale</t>
  </si>
  <si>
    <t>Génie biomédical</t>
  </si>
  <si>
    <t>Nb de lignes de dispensation</t>
  </si>
  <si>
    <t>Nb d'UO sté</t>
  </si>
  <si>
    <t>Nb d'interventions (hors contrat de maintenance)</t>
  </si>
  <si>
    <t>Euros dép. méd. gérées par la pharmacie</t>
  </si>
  <si>
    <t>SA Auxiliaire de Logistique Médicale (LM)</t>
  </si>
  <si>
    <t>.</t>
  </si>
  <si>
    <r>
      <t>Pour</t>
    </r>
    <r>
      <rPr>
        <b/>
        <sz val="9"/>
        <color theme="1"/>
        <rFont val="Verdana"/>
        <family val="2"/>
      </rPr>
      <t xml:space="preserve"> chaque section d'analyse médico-technique et de logistique médicale</t>
    </r>
    <r>
      <rPr>
        <sz val="9"/>
        <color theme="1"/>
        <rFont val="Verdana"/>
        <family val="2"/>
      </rPr>
      <t>, un focus est effectué sur :</t>
    </r>
  </si>
  <si>
    <t>- les ETPR, les modes de fonctionnement et les modes de prise en charge</t>
  </si>
  <si>
    <t>- les charges utilisées pour le calcul du coût de l'unité d'œuvre, le nombre d'unité d'œuvre, le coût de l'unité d'œuvre, le mode de fonctionnement et le mode de prise en charge</t>
  </si>
  <si>
    <r>
      <t xml:space="preserve">Les données sur </t>
    </r>
    <r>
      <rPr>
        <b/>
        <sz val="9"/>
        <color theme="1"/>
        <rFont val="Verdana"/>
        <family val="2"/>
      </rPr>
      <t>les ETPR</t>
    </r>
    <r>
      <rPr>
        <sz val="9"/>
        <color theme="1"/>
        <rFont val="Verdana"/>
        <family val="2"/>
      </rPr>
      <t xml:space="preserve"> et </t>
    </r>
    <r>
      <rPr>
        <b/>
        <sz val="9"/>
        <color theme="1"/>
        <rFont val="Verdana"/>
        <family val="2"/>
      </rPr>
      <t>leur coût moyen</t>
    </r>
    <r>
      <rPr>
        <sz val="9"/>
        <color theme="1"/>
        <rFont val="Verdana"/>
        <family val="2"/>
      </rPr>
      <t xml:space="preserve"> concernent principalement </t>
    </r>
    <r>
      <rPr>
        <b/>
        <sz val="9"/>
        <color theme="1"/>
        <rFont val="Verdana"/>
        <family val="2"/>
      </rPr>
      <t>les tableaux de contrôles 4.1</t>
    </r>
    <r>
      <rPr>
        <sz val="9"/>
        <color theme="1"/>
        <rFont val="Verdana"/>
        <family val="2"/>
      </rPr>
      <t>.</t>
    </r>
  </si>
  <si>
    <r>
      <t xml:space="preserve">Le total des </t>
    </r>
    <r>
      <rPr>
        <b/>
        <sz val="9"/>
        <color theme="1"/>
        <rFont val="Verdana"/>
        <family val="2"/>
      </rPr>
      <t>charges brutes</t>
    </r>
    <r>
      <rPr>
        <sz val="9"/>
        <color theme="1"/>
        <rFont val="Verdana"/>
        <family val="2"/>
      </rPr>
      <t xml:space="preserve">, le </t>
    </r>
    <r>
      <rPr>
        <b/>
        <sz val="9"/>
        <color theme="1"/>
        <rFont val="Verdana"/>
        <family val="2"/>
      </rPr>
      <t>nombre d'UO</t>
    </r>
    <r>
      <rPr>
        <sz val="9"/>
        <color theme="1"/>
        <rFont val="Verdana"/>
        <family val="2"/>
      </rPr>
      <t xml:space="preserve"> et les </t>
    </r>
    <r>
      <rPr>
        <b/>
        <sz val="9"/>
        <color theme="1"/>
        <rFont val="Verdana"/>
        <family val="2"/>
      </rPr>
      <t>coûts moyens de l'UO établissement et référentiel</t>
    </r>
    <r>
      <rPr>
        <sz val="9"/>
        <color theme="1"/>
        <rFont val="Verdana"/>
        <family val="2"/>
      </rPr>
      <t xml:space="preserve"> sont identifiés dans </t>
    </r>
    <r>
      <rPr>
        <b/>
        <sz val="9"/>
        <color theme="1"/>
        <rFont val="Verdana"/>
        <family val="2"/>
      </rPr>
      <t>les tableaux 5.1.1 ou 5.1.2.</t>
    </r>
  </si>
  <si>
    <r>
      <t xml:space="preserve">Une </t>
    </r>
    <r>
      <rPr>
        <b/>
        <sz val="9"/>
        <rFont val="Verdana"/>
        <family val="2"/>
      </rPr>
      <t>grille de saisie</t>
    </r>
    <r>
      <rPr>
        <sz val="9"/>
        <rFont val="Verdana"/>
        <family val="2"/>
      </rPr>
      <t xml:space="preserve"> est définie en fonction des </t>
    </r>
    <r>
      <rPr>
        <b/>
        <sz val="9"/>
        <rFont val="Verdana"/>
        <family val="2"/>
      </rPr>
      <t>données principales fournies par VALID RTC</t>
    </r>
    <r>
      <rPr>
        <sz val="9"/>
        <rFont val="Verdana"/>
        <family val="2"/>
      </rPr>
      <t>.</t>
    </r>
  </si>
  <si>
    <r>
      <t xml:space="preserve">Le principe est de </t>
    </r>
    <r>
      <rPr>
        <b/>
        <sz val="9"/>
        <rFont val="Verdana"/>
        <family val="2"/>
      </rPr>
      <t>"copier-coller" les données nécessaires</t>
    </r>
    <r>
      <rPr>
        <sz val="9"/>
        <rFont val="Verdana"/>
        <family val="2"/>
      </rPr>
      <t xml:space="preserve"> de la source de données (</t>
    </r>
    <r>
      <rPr>
        <b/>
        <sz val="9"/>
        <rFont val="Verdana"/>
        <family val="2"/>
      </rPr>
      <t>onglets définis du VALID RTC</t>
    </r>
    <r>
      <rPr>
        <sz val="9"/>
        <rFont val="Verdana"/>
        <family val="2"/>
      </rPr>
      <t xml:space="preserve">) </t>
    </r>
    <r>
      <rPr>
        <b/>
        <sz val="9"/>
        <rFont val="Verdana"/>
        <family val="2"/>
      </rPr>
      <t>vers la grille de saisie dans les cellules grisées concernées</t>
    </r>
    <r>
      <rPr>
        <sz val="9"/>
        <rFont val="Verdana"/>
        <family val="2"/>
      </rPr>
      <t>.</t>
    </r>
  </si>
  <si>
    <r>
      <t xml:space="preserve">- ATIH - </t>
    </r>
    <r>
      <rPr>
        <u/>
        <sz val="9"/>
        <color theme="1"/>
        <rFont val="Verdana"/>
        <family val="2"/>
      </rPr>
      <t>Outil VALID RTC</t>
    </r>
    <r>
      <rPr>
        <sz val="9"/>
        <color theme="1"/>
        <rFont val="Verdana"/>
        <family val="2"/>
      </rPr>
      <t xml:space="preserve"> : </t>
    </r>
    <r>
      <rPr>
        <b/>
        <sz val="9"/>
        <color theme="1"/>
        <rFont val="Verdana"/>
        <family val="2"/>
      </rPr>
      <t>guide de lecture des tableaux de contrôle</t>
    </r>
    <r>
      <rPr>
        <sz val="9"/>
        <color theme="1"/>
        <rFont val="Verdana"/>
        <family val="2"/>
      </rPr>
      <t>.</t>
    </r>
  </si>
  <si>
    <r>
      <t xml:space="preserve">- ATIH - </t>
    </r>
    <r>
      <rPr>
        <b/>
        <sz val="9"/>
        <color theme="1"/>
        <rFont val="Verdana"/>
        <family val="2"/>
      </rPr>
      <t>Guide de recueil des UO et des clés.</t>
    </r>
  </si>
  <si>
    <r>
      <t xml:space="preserve">- ATIH - </t>
    </r>
    <r>
      <rPr>
        <b/>
        <u/>
        <sz val="9"/>
        <color theme="1"/>
        <rFont val="Verdana"/>
        <family val="2"/>
      </rPr>
      <t>Fiches pédagogiques</t>
    </r>
    <r>
      <rPr>
        <sz val="9"/>
        <color theme="1"/>
        <rFont val="Verdana"/>
        <family val="2"/>
      </rPr>
      <t xml:space="preserve"> : 
   . Fiche 2018-05 : Typage des sections de LGG, SAMT, LM, STR et plateaux PSY dans Arcanh RTC
   . Fiche 2018-03 : Traitement des groupements
   . Fiche 2019-06 : UO Sté</t>
    </r>
  </si>
  <si>
    <t>Total Logistique Médicale</t>
  </si>
  <si>
    <r>
      <t xml:space="preserve">La </t>
    </r>
    <r>
      <rPr>
        <b/>
        <sz val="9"/>
        <color theme="1"/>
        <rFont val="Verdana"/>
        <family val="2"/>
      </rPr>
      <t>colonne A de la grille de saisie</t>
    </r>
    <r>
      <rPr>
        <sz val="9"/>
        <color theme="1"/>
        <rFont val="Verdana"/>
        <family val="2"/>
      </rPr>
      <t xml:space="preserve"> indique </t>
    </r>
    <r>
      <rPr>
        <b/>
        <sz val="9"/>
        <color theme="1"/>
        <rFont val="Verdana"/>
        <family val="2"/>
      </rPr>
      <t>la source de données</t>
    </r>
    <r>
      <rPr>
        <sz val="9"/>
        <color theme="1"/>
        <rFont val="Verdana"/>
        <family val="2"/>
      </rPr>
      <t xml:space="preserve"> pour chaque ligne à saisir ou à recopier.</t>
    </r>
  </si>
  <si>
    <r>
      <rPr>
        <b/>
        <sz val="9"/>
        <color theme="1"/>
        <rFont val="Verdana"/>
        <family val="2"/>
      </rPr>
      <t>Où trouver les données ?</t>
    </r>
    <r>
      <rPr>
        <sz val="9"/>
        <color theme="1"/>
        <rFont val="Verdana"/>
        <family val="2"/>
      </rPr>
      <t xml:space="preserve">
Les données sont issues du fichier contenant les tableaux VALID-RTC de contrôle et de restitution pour chaque établissement, téléchargeable à partir de la plateforme e-RTC.
Les sources de données sont le VALID RTC N et N-1 : 
- l'onglet "</t>
    </r>
    <r>
      <rPr>
        <b/>
        <i/>
        <sz val="9"/>
        <color theme="1"/>
        <rFont val="Verdana"/>
        <family val="2"/>
      </rPr>
      <t>Synth. SA auxiliaires</t>
    </r>
    <r>
      <rPr>
        <sz val="9"/>
        <color theme="1"/>
        <rFont val="Verdana"/>
        <family val="2"/>
      </rPr>
      <t>" étant destiné à récupérer les données "établissements"
- les onglets "</t>
    </r>
    <r>
      <rPr>
        <b/>
        <i/>
        <sz val="9"/>
        <color theme="1"/>
        <rFont val="Verdana"/>
        <family val="2"/>
      </rPr>
      <t>4.1 - Contrôle des ETPR</t>
    </r>
    <r>
      <rPr>
        <sz val="9"/>
        <color theme="1"/>
        <rFont val="Verdana"/>
        <family val="2"/>
      </rPr>
      <t>" et "</t>
    </r>
    <r>
      <rPr>
        <b/>
        <i/>
        <sz val="9"/>
        <color theme="1"/>
        <rFont val="Verdana"/>
        <family val="2"/>
      </rPr>
      <t>5- Coût UO des SA auxiliaires</t>
    </r>
    <r>
      <rPr>
        <sz val="9"/>
        <color theme="1"/>
        <rFont val="Verdana"/>
        <family val="2"/>
      </rPr>
      <t>" pour les données du "référentiel N-1"</t>
    </r>
  </si>
  <si>
    <r>
      <t>1</t>
    </r>
    <r>
      <rPr>
        <b/>
        <i/>
        <vertAlign val="superscript"/>
        <sz val="9"/>
        <color theme="1"/>
        <rFont val="Verdana"/>
        <family val="2"/>
      </rPr>
      <t>ère</t>
    </r>
    <r>
      <rPr>
        <b/>
        <i/>
        <sz val="9"/>
        <color theme="1"/>
        <rFont val="Verdana"/>
        <family val="2"/>
      </rPr>
      <t xml:space="preserve"> étape : le recueil des données de logistique médicale (LM)</t>
    </r>
  </si>
  <si>
    <r>
      <t xml:space="preserve">Les </t>
    </r>
    <r>
      <rPr>
        <b/>
        <sz val="9"/>
        <color theme="1"/>
        <rFont val="Verdana"/>
        <family val="2"/>
      </rPr>
      <t>informations relatives au mode de fonctionnement des fonctions de logistique médicale</t>
    </r>
    <r>
      <rPr>
        <sz val="9"/>
        <color theme="1"/>
        <rFont val="Verdana"/>
        <family val="2"/>
      </rPr>
      <t xml:space="preserve"> sont identifiées en préalable au niveau du </t>
    </r>
    <r>
      <rPr>
        <b/>
        <sz val="9"/>
        <color theme="1"/>
        <rFont val="Verdana"/>
        <family val="2"/>
      </rPr>
      <t>TDC 0.2.2</t>
    </r>
    <r>
      <rPr>
        <sz val="9"/>
        <color theme="1"/>
        <rFont val="Verdana"/>
        <family val="2"/>
      </rPr>
      <t xml:space="preserve"> et reprises dans chaque TDC relatifs à l'analyse de la LM.</t>
    </r>
  </si>
  <si>
    <r>
      <t xml:space="preserve">La </t>
    </r>
    <r>
      <rPr>
        <b/>
        <sz val="9"/>
        <color theme="1"/>
        <rFont val="Verdana"/>
        <family val="2"/>
      </rPr>
      <t>structure de coût de chaque section de logistique médicale</t>
    </r>
    <r>
      <rPr>
        <sz val="9"/>
        <color theme="1"/>
        <rFont val="Verdana"/>
        <family val="2"/>
      </rPr>
      <t xml:space="preserve"> peut être étudiée dans l'</t>
    </r>
    <r>
      <rPr>
        <b/>
        <sz val="9"/>
        <color theme="1"/>
        <rFont val="Verdana"/>
        <family val="2"/>
      </rPr>
      <t>onglet "Synth. SA auxiliaires"</t>
    </r>
    <r>
      <rPr>
        <sz val="9"/>
        <color theme="1"/>
        <rFont val="Verdana"/>
        <family val="2"/>
      </rPr>
      <t>.</t>
    </r>
  </si>
  <si>
    <t>3ème étape : maquette sur les évolutions des principaux indicateurs par LM</t>
  </si>
  <si>
    <r>
      <rPr>
        <sz val="9"/>
        <color theme="1"/>
        <rFont val="Verdana"/>
        <family val="2"/>
      </rPr>
      <t xml:space="preserve">- Le cas échéant, </t>
    </r>
    <r>
      <rPr>
        <b/>
        <sz val="9"/>
        <color theme="1"/>
        <rFont val="Verdana"/>
        <family val="2"/>
      </rPr>
      <t>mettre en œuvre et automatiser si possible le recueil des UO</t>
    </r>
    <r>
      <rPr>
        <sz val="9"/>
        <color theme="1"/>
        <rFont val="Verdana"/>
        <family val="2"/>
      </rPr>
      <t xml:space="preserve"> telles que décrites dans le guide avec les responsables métiers concernés.</t>
    </r>
  </si>
  <si>
    <r>
      <rPr>
        <b/>
        <sz val="9"/>
        <color theme="1"/>
        <rFont val="Verdana"/>
        <family val="2"/>
      </rPr>
      <t>- Fiabiliser</t>
    </r>
    <r>
      <rPr>
        <sz val="9"/>
        <color theme="1"/>
        <rFont val="Verdana"/>
        <family val="2"/>
      </rPr>
      <t xml:space="preserve"> ce recueil et </t>
    </r>
    <r>
      <rPr>
        <b/>
        <sz val="9"/>
        <color theme="1"/>
        <rFont val="Verdana"/>
        <family val="2"/>
      </rPr>
      <t>son exhaustivité</t>
    </r>
    <r>
      <rPr>
        <sz val="9"/>
        <color theme="1"/>
        <rFont val="Verdana"/>
        <family val="2"/>
      </rPr>
      <t xml:space="preserve"> en fonction des analyses faites chaque année sur les unités d'œuvre</t>
    </r>
  </si>
  <si>
    <r>
      <rPr>
        <b/>
        <sz val="9"/>
        <color theme="1"/>
        <rFont val="Verdana"/>
        <family val="2"/>
      </rPr>
      <t>- Comprendre la différence entre une unité d'œuvre et une clé de répartition</t>
    </r>
    <r>
      <rPr>
        <sz val="9"/>
        <color theme="1"/>
        <rFont val="Verdana"/>
        <family val="2"/>
      </rPr>
      <t xml:space="preserve"> sera </t>
    </r>
    <r>
      <rPr>
        <b/>
        <sz val="9"/>
        <color theme="1"/>
        <rFont val="Verdana"/>
        <family val="2"/>
      </rPr>
      <t>utile pour l'interprétation de vos données</t>
    </r>
    <r>
      <rPr>
        <sz val="9"/>
        <color theme="1"/>
        <rFont val="Verdana"/>
        <family val="2"/>
      </rPr>
      <t>, mais aussi pour le choix d'une UO et/ou d'une clé de répartition si vous ne disposez pas de celles préconisées.</t>
    </r>
  </si>
  <si>
    <r>
      <t>- L'</t>
    </r>
    <r>
      <rPr>
        <b/>
        <sz val="9"/>
        <rFont val="Verdana"/>
        <family val="2"/>
      </rPr>
      <t>interprétation des données par rapport à l'année précédente</t>
    </r>
    <r>
      <rPr>
        <sz val="9"/>
        <rFont val="Verdana"/>
        <family val="2"/>
      </rPr>
      <t xml:space="preserve"> fera l'objet d'une </t>
    </r>
    <r>
      <rPr>
        <b/>
        <sz val="9"/>
        <rFont val="Verdana"/>
        <family val="2"/>
      </rPr>
      <t>attention particulière dans l'hypothèse d'un changement de mode de fonctionnement et/ou d'un changement de clé d'UO.</t>
    </r>
  </si>
  <si>
    <r>
      <rPr>
        <b/>
        <sz val="9"/>
        <color rgb="FFFF0000"/>
        <rFont val="Verdana"/>
        <family val="2"/>
      </rPr>
      <t xml:space="preserve">  Si l'établissement n'a pas utilisé la clé du guide</t>
    </r>
    <r>
      <rPr>
        <sz val="9"/>
        <color rgb="FFFF0000"/>
        <rFont val="Verdana"/>
        <family val="2"/>
      </rPr>
      <t xml:space="preserve">, </t>
    </r>
    <r>
      <rPr>
        <b/>
        <u/>
        <sz val="9"/>
        <color rgb="FFFF0000"/>
        <rFont val="Verdana"/>
        <family val="2"/>
      </rPr>
      <t>la comparaison avec le référentiel ne sera plus possible pour l'activité concernée</t>
    </r>
    <r>
      <rPr>
        <sz val="9"/>
        <color rgb="FFFF0000"/>
        <rFont val="Verdana"/>
        <family val="2"/>
      </rPr>
      <t>.</t>
    </r>
  </si>
  <si>
    <r>
      <rPr>
        <b/>
        <sz val="9"/>
        <color theme="1"/>
        <rFont val="Verdana"/>
        <family val="2"/>
      </rPr>
      <t>Selon le principe que la grille de saisie et la maquette restent modifiables au gré des recherches et des besoins des utilisateurs</t>
    </r>
    <r>
      <rPr>
        <sz val="9"/>
        <color theme="1"/>
        <rFont val="Verdana"/>
        <family val="2"/>
      </rPr>
      <t xml:space="preserve">, </t>
    </r>
    <r>
      <rPr>
        <b/>
        <sz val="9"/>
        <color theme="1"/>
        <rFont val="Verdana"/>
        <family val="2"/>
      </rPr>
      <t>la colonne B de la grille de saisie indique la référence de la ligne à rechercher</t>
    </r>
    <r>
      <rPr>
        <sz val="9"/>
        <color theme="1"/>
        <rFont val="Verdana"/>
        <family val="2"/>
      </rPr>
      <t xml:space="preserve"> pour la colonne étudiée (</t>
    </r>
    <r>
      <rPr>
        <b/>
        <sz val="9"/>
        <color theme="1"/>
        <rFont val="Verdana"/>
        <family val="2"/>
      </rPr>
      <t>no_index_col</t>
    </r>
    <r>
      <rPr>
        <sz val="9"/>
        <color theme="1"/>
        <rFont val="Verdana"/>
        <family val="2"/>
      </rPr>
      <t xml:space="preserve">).
La fonction principalement utilisée dans la maquette est </t>
    </r>
    <r>
      <rPr>
        <b/>
        <sz val="9"/>
        <color theme="1"/>
        <rFont val="Verdana"/>
        <family val="2"/>
      </rPr>
      <t xml:space="preserve">RECHERCHEH(valeur_cherchée, table_matrice, no_index_col, [valeur_proche]).
</t>
    </r>
    <r>
      <rPr>
        <sz val="9"/>
        <color theme="1"/>
        <rFont val="Verdana"/>
        <family val="2"/>
      </rPr>
      <t>Ce point de repère est destiné à modifier plus facilement la grille de saisie et/ou la maquette.</t>
    </r>
  </si>
  <si>
    <t>A titre d'illustration, des exemples de commentaires sont rédigés à partir des résultats de l'activité 'stérilisation'.</t>
  </si>
  <si>
    <t>- ATIH - Arbre analytique ENC/RTC en vigueur</t>
  </si>
  <si>
    <t>Plan d'actions</t>
  </si>
  <si>
    <t xml:space="preserve">
</t>
  </si>
  <si>
    <t>VALID RTC ; logistique médicale ; UO ; Clé de répartition ; ETPR ; Coût moyen d'une UO ; Référentiel</t>
  </si>
  <si>
    <r>
      <t>2</t>
    </r>
    <r>
      <rPr>
        <b/>
        <i/>
        <vertAlign val="superscript"/>
        <sz val="9"/>
        <color theme="1"/>
        <rFont val="Verdana"/>
        <family val="2"/>
      </rPr>
      <t>ème</t>
    </r>
    <r>
      <rPr>
        <b/>
        <i/>
        <sz val="9"/>
        <color theme="1"/>
        <rFont val="Verdana"/>
        <family val="2"/>
      </rPr>
      <t xml:space="preserve"> étape : la saisie des données</t>
    </r>
  </si>
  <si>
    <r>
      <t xml:space="preserve">Outil de fiabilisation de vos données, VALID RTC permet </t>
    </r>
    <r>
      <rPr>
        <b/>
        <sz val="9"/>
        <color theme="1"/>
        <rFont val="Verdana"/>
        <family val="2"/>
      </rPr>
      <t>une première comparaison des coûts de la logistique médicale par rapport à celui du référentiel national pour la même catégorie d'établissements</t>
    </r>
    <r>
      <rPr>
        <sz val="9"/>
        <color theme="1"/>
        <rFont val="Verdana"/>
        <family val="2"/>
      </rPr>
      <t xml:space="preserve"> (données de l'année N-1).
Ce fichier contient une maquette aux établissements pour une utilisation interne (restitutions, etc.).
Cette maquette est modifiable et évolutive afin de permettre toute personnalisation.</t>
    </r>
  </si>
  <si>
    <r>
      <t xml:space="preserve">L'objectif principal de la présente fiche est :
- de permettre aux établissements de </t>
    </r>
    <r>
      <rPr>
        <b/>
        <sz val="9"/>
        <rFont val="Verdana"/>
        <family val="2"/>
      </rPr>
      <t>s'approprier la richesse des données fournies par VALID-RTC</t>
    </r>
    <r>
      <rPr>
        <sz val="9"/>
        <rFont val="Verdana"/>
        <family val="2"/>
      </rPr>
      <t xml:space="preserve">
- de créer une </t>
    </r>
    <r>
      <rPr>
        <b/>
        <sz val="9"/>
        <rFont val="Verdana"/>
        <family val="2"/>
      </rPr>
      <t>démarche d'analyse "routinière"</t>
    </r>
    <r>
      <rPr>
        <sz val="9"/>
        <rFont val="Verdana"/>
        <family val="2"/>
      </rPr>
      <t xml:space="preserve">
- </t>
    </r>
    <r>
      <rPr>
        <b/>
        <sz val="9"/>
        <rFont val="Verdana"/>
        <family val="2"/>
      </rPr>
      <t>d</t>
    </r>
    <r>
      <rPr>
        <sz val="9"/>
        <rFont val="Verdana"/>
        <family val="2"/>
      </rPr>
      <t>'</t>
    </r>
    <r>
      <rPr>
        <b/>
        <sz val="9"/>
        <rFont val="Verdana"/>
        <family val="2"/>
      </rPr>
      <t>approfondir</t>
    </r>
    <r>
      <rPr>
        <sz val="9"/>
        <rFont val="Verdana"/>
        <family val="2"/>
      </rPr>
      <t xml:space="preserve"> ses mesures et ses outils d'aide au pilotage par le recours à la</t>
    </r>
    <r>
      <rPr>
        <b/>
        <sz val="9"/>
        <rFont val="Verdana"/>
        <family val="2"/>
      </rPr>
      <t xml:space="preserve"> fiche individuelle de restitution</t>
    </r>
    <r>
      <rPr>
        <sz val="9"/>
        <rFont val="Verdana"/>
        <family val="2"/>
      </rPr>
      <t xml:space="preserve"> et le référentiel de coûts disponible </t>
    </r>
    <r>
      <rPr>
        <i/>
        <sz val="9"/>
        <rFont val="Verdana"/>
        <family val="2"/>
      </rPr>
      <t>via</t>
    </r>
    <r>
      <rPr>
        <sz val="9"/>
        <rFont val="Verdana"/>
        <family val="2"/>
      </rPr>
      <t xml:space="preserve"> </t>
    </r>
    <r>
      <rPr>
        <b/>
        <sz val="9"/>
        <rFont val="Verdana"/>
        <family val="2"/>
      </rPr>
      <t>Scansanté</t>
    </r>
    <r>
      <rPr>
        <sz val="9"/>
        <rFont val="Verdana"/>
        <family val="2"/>
      </rPr>
      <t xml:space="preserve">.
L'intérêt est de :
- </t>
    </r>
    <r>
      <rPr>
        <b/>
        <sz val="9"/>
        <rFont val="Verdana"/>
        <family val="2"/>
      </rPr>
      <t>Fiabiliser les données</t>
    </r>
    <r>
      <rPr>
        <sz val="9"/>
        <rFont val="Verdana"/>
        <family val="2"/>
      </rPr>
      <t xml:space="preserve"> de chaque section d'analyse médico-technique et de logistique médicale (charges brutes, produits déductibles, unité d'œuvre, ETPR).
- Comparer ses données avec le </t>
    </r>
    <r>
      <rPr>
        <b/>
        <sz val="9"/>
        <rFont val="Verdana"/>
        <family val="2"/>
      </rPr>
      <t>référentiel national</t>
    </r>
    <r>
      <rPr>
        <sz val="9"/>
        <rFont val="Verdana"/>
        <family val="2"/>
      </rPr>
      <t>.
- Permettre aux établissements qui le souhaitent une trame de restitution interne, utilisable en l'état après saisie ou recopie des données puis personnalisable et évolutive au gré des utilisations et selon les besoins de l'établissement,</t>
    </r>
    <r>
      <rPr>
        <b/>
        <sz val="9"/>
        <rFont val="Verdana"/>
        <family val="2"/>
      </rPr>
      <t xml:space="preserve"> notamment dans le dialogue de gestion.</t>
    </r>
  </si>
  <si>
    <r>
      <t xml:space="preserve">S'agissant de la </t>
    </r>
    <r>
      <rPr>
        <b/>
        <sz val="10"/>
        <color theme="1"/>
        <rFont val="Verdana"/>
        <family val="2"/>
      </rPr>
      <t>stérilisation</t>
    </r>
    <r>
      <rPr>
        <sz val="10"/>
        <color theme="1"/>
        <rFont val="Verdana"/>
        <family val="2"/>
      </rPr>
      <t xml:space="preserve">, le </t>
    </r>
    <r>
      <rPr>
        <b/>
        <sz val="10"/>
        <color theme="1"/>
        <rFont val="Verdana"/>
        <family val="2"/>
      </rPr>
      <t>coût moyen par unité stérilisée</t>
    </r>
    <r>
      <rPr>
        <sz val="10"/>
        <color theme="1"/>
        <rFont val="Verdana"/>
        <family val="2"/>
      </rPr>
      <t xml:space="preserve"> pour le CH a été de </t>
    </r>
    <r>
      <rPr>
        <b/>
        <sz val="10"/>
        <color theme="1"/>
        <rFont val="Verdana"/>
        <family val="2"/>
      </rPr>
      <t>0,25€</t>
    </r>
    <r>
      <rPr>
        <sz val="10"/>
        <color theme="1"/>
        <rFont val="Verdana"/>
        <family val="2"/>
      </rPr>
      <t xml:space="preserve"> en 2019. Ce résultat est </t>
    </r>
    <r>
      <rPr>
        <b/>
        <sz val="10"/>
        <color theme="1"/>
        <rFont val="Verdana"/>
        <family val="2"/>
      </rPr>
      <t>stable</t>
    </r>
    <r>
      <rPr>
        <sz val="10"/>
        <color theme="1"/>
        <rFont val="Verdana"/>
        <family val="2"/>
      </rPr>
      <t xml:space="preserve"> par rapport à l'année pécédente.
Les </t>
    </r>
    <r>
      <rPr>
        <b/>
        <sz val="10"/>
        <color theme="1"/>
        <rFont val="Verdana"/>
        <family val="2"/>
      </rPr>
      <t>charges</t>
    </r>
    <r>
      <rPr>
        <sz val="10"/>
        <color theme="1"/>
        <rFont val="Verdana"/>
        <family val="2"/>
      </rPr>
      <t xml:space="preserve"> brutes 2019 se sont élevés à </t>
    </r>
    <r>
      <rPr>
        <b/>
        <sz val="10"/>
        <color theme="1"/>
        <rFont val="Verdana"/>
        <family val="2"/>
      </rPr>
      <t>472k€</t>
    </r>
    <r>
      <rPr>
        <sz val="10"/>
        <color theme="1"/>
        <rFont val="Verdana"/>
        <family val="2"/>
      </rPr>
      <t xml:space="preserve">, montant quasiment stable (+1% et +4,8k€) par rapport à 2018.
De façon plus détaillée, en 2019, les charges de </t>
    </r>
    <r>
      <rPr>
        <b/>
        <sz val="10"/>
        <color theme="1"/>
        <rFont val="Verdana"/>
        <family val="2"/>
      </rPr>
      <t>personnel</t>
    </r>
    <r>
      <rPr>
        <sz val="10"/>
        <color theme="1"/>
        <rFont val="Verdana"/>
        <family val="2"/>
      </rPr>
      <t xml:space="preserve"> concentrent la </t>
    </r>
    <r>
      <rPr>
        <b/>
        <sz val="10"/>
        <color theme="1"/>
        <rFont val="Verdana"/>
        <family val="2"/>
      </rPr>
      <t>très grande majorité</t>
    </r>
    <r>
      <rPr>
        <sz val="10"/>
        <color theme="1"/>
        <rFont val="Verdana"/>
        <family val="2"/>
      </rPr>
      <t xml:space="preserve"> (</t>
    </r>
    <r>
      <rPr>
        <b/>
        <sz val="10"/>
        <color theme="1"/>
        <rFont val="Verdana"/>
        <family val="2"/>
      </rPr>
      <t>79%</t>
    </r>
    <r>
      <rPr>
        <sz val="10"/>
        <color theme="1"/>
        <rFont val="Verdana"/>
        <family val="2"/>
      </rPr>
      <t xml:space="preserve"> et 374k€) du coût (équivalent à 0,19€ par unité stérilisée). Elles sont suivies les charges à caractère médical (</t>
    </r>
    <r>
      <rPr>
        <b/>
        <sz val="10"/>
        <color theme="1"/>
        <rFont val="Verdana"/>
        <family val="2"/>
      </rPr>
      <t>titre 2</t>
    </r>
    <r>
      <rPr>
        <sz val="10"/>
        <color theme="1"/>
        <rFont val="Verdana"/>
        <family val="2"/>
      </rPr>
      <t xml:space="preserve"> : </t>
    </r>
    <r>
      <rPr>
        <b/>
        <sz val="10"/>
        <color theme="1"/>
        <rFont val="Verdana"/>
        <family val="2"/>
      </rPr>
      <t>16%</t>
    </r>
    <r>
      <rPr>
        <sz val="10"/>
        <color theme="1"/>
        <rFont val="Verdana"/>
        <family val="2"/>
      </rPr>
      <t xml:space="preserve">, 75k€ et 0,04€ par unité stérilisée).
Près de </t>
    </r>
    <r>
      <rPr>
        <b/>
        <sz val="10"/>
        <color theme="1"/>
        <rFont val="Verdana"/>
        <family val="2"/>
      </rPr>
      <t xml:space="preserve">1 920 000 unités </t>
    </r>
    <r>
      <rPr>
        <sz val="10"/>
        <color theme="1"/>
        <rFont val="Verdana"/>
        <family val="2"/>
      </rPr>
      <t xml:space="preserve">(soit environ 7 679 par jour ouvrable) ont été stérilisées, activité totalement internalisée en 2019. Ce volume est en </t>
    </r>
    <r>
      <rPr>
        <b/>
        <sz val="10"/>
        <color theme="1"/>
        <rFont val="Verdana"/>
        <family val="2"/>
      </rPr>
      <t>stable</t>
    </r>
    <r>
      <rPr>
        <sz val="10"/>
        <color theme="1"/>
        <rFont val="Verdana"/>
        <family val="2"/>
      </rPr>
      <t xml:space="preserve"> par rapport à 2018 (+9 190 UO).
Du point de vue des ressources humaines,</t>
    </r>
    <r>
      <rPr>
        <b/>
        <sz val="10"/>
        <color theme="1"/>
        <rFont val="Verdana"/>
        <family val="2"/>
      </rPr>
      <t xml:space="preserve"> 7,58 ETP</t>
    </r>
    <r>
      <rPr>
        <sz val="10"/>
        <color theme="1"/>
        <rFont val="Verdana"/>
        <family val="2"/>
      </rPr>
      <t xml:space="preserve"> ont été identifiés sur la fonction en 2019, dont 0,3 personnel médical. Ces effectifs sont </t>
    </r>
    <r>
      <rPr>
        <b/>
        <sz val="10"/>
        <color theme="1"/>
        <rFont val="Verdana"/>
        <family val="2"/>
      </rPr>
      <t>identiques</t>
    </r>
    <r>
      <rPr>
        <sz val="10"/>
        <color theme="1"/>
        <rFont val="Verdana"/>
        <family val="2"/>
      </rPr>
      <t xml:space="preserve"> (+0,03) à ceux de 2018.
En termes de "productivité", le volume de production aboutit à un nombre moyen d'unités stérilisées de</t>
    </r>
    <r>
      <rPr>
        <b/>
        <sz val="10"/>
        <color theme="1"/>
        <rFont val="Verdana"/>
        <family val="2"/>
      </rPr>
      <t xml:space="preserve"> 263 712 par ETP non médical</t>
    </r>
    <r>
      <rPr>
        <sz val="10"/>
        <color theme="1"/>
        <rFont val="Verdana"/>
        <family val="2"/>
      </rPr>
      <t xml:space="preserve"> en 2019, chiffre inchangé (+0%, +75 UO par an) par rapport à 2018.</t>
    </r>
  </si>
  <si>
    <t>VALID RTC : Les principaux indicateurs 
de logistique médicale (LM)</t>
  </si>
  <si>
    <t>- Lien vers ScanSanté pour des comparaisons "ciblées"</t>
  </si>
  <si>
    <t xml:space="preserve">- Hospidiag </t>
  </si>
  <si>
    <t>x</t>
  </si>
  <si>
    <t>- ATIH - Fiches de restitution individuelle pour plus de comparaisons avec le référentiel N-1 (structure de coût, médiane, quartiles, …)</t>
  </si>
  <si>
    <t>- Fiche RTC_06 - VALID RTC : Les principaux indicateurs de logistique et gestion général (LGG) et leurs dimensions internalisations / sous traitance</t>
  </si>
  <si>
    <t>- Fiche RTC_09 - VALID RTC : Utiliser les coûts des section d'analyse clinique (SAC)</t>
  </si>
  <si>
    <t>- Fiche RTC_11 - VALID RTC : Calculer des effets prix - effets volumes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</si>
</sst>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 #,##0.00\ &quot;€&quot;_-;\-* #,##0.00\ &quot;€&quot;_-;_-* &quot;-&quot;??\ &quot;€&quot;_-;_-@_-"/>
    <numFmt numFmtId="43" formatCode="_-* #,##0.00\ _€_-;\-* #,##0.00\ _€_-;_-* &quot;-&quot;??\ _€_-;_-@_-"/>
    <numFmt numFmtId="164" formatCode="#,##0\ &quot;€&quot;"/>
    <numFmt numFmtId="165" formatCode="#,##0.00\ &quot;€&quot;"/>
    <numFmt numFmtId="166" formatCode="&quot;€&quot;#,##0_);\(&quot;€&quot;#,##0\)"/>
    <numFmt numFmtId="167" formatCode="#,##0.0"/>
    <numFmt numFmtId="168" formatCode="_-* #,##0\ _€_-;\-* #,##0\ _€_-;_-* &quot;-&quot;??\ _€_-;_-@_-"/>
  </numFmts>
  <fonts count="72" x14ac:knownFonts="1">
    <font>
      <sz val="10"/>
      <color theme="1"/>
      <name val="Verdana"/>
      <family val="2"/>
    </font>
    <font>
      <sz val="11"/>
      <color theme="1"/>
      <name val="Calibri"/>
      <family val="2"/>
      <scheme val="minor"/>
    </font>
    <font>
      <sz val="10"/>
      <color rgb="FFFF0000"/>
      <name val="Verdana"/>
      <family val="2"/>
    </font>
    <font>
      <b/>
      <sz val="10"/>
      <color theme="1"/>
      <name val="Verdana"/>
      <family val="2"/>
    </font>
    <font>
      <sz val="8"/>
      <name val="Verdana"/>
      <family val="2"/>
    </font>
    <font>
      <b/>
      <sz val="16"/>
      <color theme="0"/>
      <name val="Verdana"/>
      <family val="2"/>
    </font>
    <font>
      <sz val="9"/>
      <color theme="1"/>
      <name val="Verdana"/>
      <family val="2"/>
    </font>
    <font>
      <sz val="12"/>
      <color theme="1"/>
      <name val="Wingdings"/>
      <charset val="2"/>
    </font>
    <font>
      <sz val="10"/>
      <color theme="1"/>
      <name val="Verdana"/>
      <family val="2"/>
    </font>
    <font>
      <b/>
      <sz val="11"/>
      <color theme="0"/>
      <name val="Calibri"/>
      <family val="2"/>
      <scheme val="minor"/>
    </font>
    <font>
      <sz val="11"/>
      <color theme="0"/>
      <name val="Calibri"/>
      <family val="2"/>
      <scheme val="minor"/>
    </font>
    <font>
      <u/>
      <sz val="10"/>
      <color theme="10"/>
      <name val="Verdana"/>
      <family val="2"/>
    </font>
    <font>
      <u/>
      <sz val="10"/>
      <color theme="0"/>
      <name val="Verdana"/>
      <family val="2"/>
    </font>
    <font>
      <sz val="9"/>
      <color rgb="FF00B050"/>
      <name val="Verdana"/>
      <family val="2"/>
    </font>
    <font>
      <i/>
      <sz val="9"/>
      <color theme="1"/>
      <name val="Verdana"/>
      <family val="2"/>
    </font>
    <font>
      <b/>
      <sz val="9"/>
      <color theme="0"/>
      <name val="Verdana"/>
      <family val="2"/>
    </font>
    <font>
      <b/>
      <i/>
      <sz val="9"/>
      <color theme="0"/>
      <name val="Verdana"/>
      <family val="2"/>
    </font>
    <font>
      <b/>
      <sz val="9"/>
      <color theme="1"/>
      <name val="Verdana"/>
      <family val="2"/>
    </font>
    <font>
      <b/>
      <sz val="12"/>
      <name val="Verdana"/>
      <family val="2"/>
    </font>
    <font>
      <i/>
      <sz val="8"/>
      <color theme="1"/>
      <name val="Verdana"/>
      <family val="2"/>
    </font>
    <font>
      <b/>
      <sz val="9"/>
      <color indexed="9"/>
      <name val="Verdana"/>
      <family val="2"/>
    </font>
    <font>
      <sz val="9"/>
      <color indexed="63"/>
      <name val="Verdana"/>
      <family val="2"/>
    </font>
    <font>
      <sz val="9"/>
      <name val="Verdana"/>
      <family val="2"/>
    </font>
    <font>
      <b/>
      <sz val="9"/>
      <name val="Verdana"/>
      <family val="2"/>
    </font>
    <font>
      <b/>
      <i/>
      <sz val="9"/>
      <name val="Verdana"/>
      <family val="2"/>
    </font>
    <font>
      <b/>
      <sz val="9"/>
      <color rgb="FFFF0000"/>
      <name val="Verdana"/>
      <family val="2"/>
    </font>
    <font>
      <b/>
      <i/>
      <sz val="9"/>
      <color rgb="FFFF0000"/>
      <name val="Verdana"/>
      <family val="2"/>
    </font>
    <font>
      <b/>
      <sz val="9"/>
      <color indexed="63"/>
      <name val="Verdana"/>
      <family val="2"/>
    </font>
    <font>
      <b/>
      <i/>
      <sz val="9"/>
      <color indexed="63"/>
      <name val="Verdana"/>
      <family val="2"/>
    </font>
    <font>
      <b/>
      <i/>
      <sz val="9"/>
      <color theme="1"/>
      <name val="Verdana"/>
      <family val="2"/>
    </font>
    <font>
      <sz val="11"/>
      <color indexed="8"/>
      <name val="Calibri"/>
      <family val="2"/>
    </font>
    <font>
      <i/>
      <sz val="9"/>
      <color indexed="63"/>
      <name val="Verdana"/>
      <family val="2"/>
    </font>
    <font>
      <b/>
      <sz val="8"/>
      <color theme="0"/>
      <name val="Calibri"/>
      <family val="2"/>
      <scheme val="minor"/>
    </font>
    <font>
      <b/>
      <sz val="24"/>
      <color rgb="FF002060"/>
      <name val="Calibri"/>
      <family val="2"/>
      <scheme val="minor"/>
    </font>
    <font>
      <b/>
      <sz val="22"/>
      <color theme="0"/>
      <name val="Calibri"/>
      <family val="2"/>
      <scheme val="minor"/>
    </font>
    <font>
      <b/>
      <sz val="22"/>
      <color theme="3" tint="-0.249977111117893"/>
      <name val="Calibri"/>
      <family val="2"/>
      <scheme val="minor"/>
    </font>
    <font>
      <b/>
      <sz val="11"/>
      <color theme="3" tint="-0.249977111117893"/>
      <name val="Calibri"/>
      <family val="2"/>
      <scheme val="minor"/>
    </font>
    <font>
      <b/>
      <i/>
      <sz val="11"/>
      <color theme="1"/>
      <name val="Calibri"/>
      <family val="2"/>
      <scheme val="minor"/>
    </font>
    <font>
      <b/>
      <sz val="14"/>
      <color theme="3" tint="-0.249977111117893"/>
      <name val="Calibri"/>
      <family val="2"/>
      <scheme val="minor"/>
    </font>
    <font>
      <sz val="11"/>
      <color theme="3" tint="-0.249977111117893"/>
      <name val="Calibri"/>
      <family val="2"/>
      <scheme val="minor"/>
    </font>
    <font>
      <b/>
      <i/>
      <sz val="11"/>
      <color theme="3" tint="-0.249977111117893"/>
      <name val="Calibri"/>
      <family val="2"/>
      <scheme val="minor"/>
    </font>
    <font>
      <sz val="11"/>
      <color theme="3" tint="-0.24994659260841701"/>
      <name val="Calibri"/>
      <family val="2"/>
      <scheme val="minor"/>
    </font>
    <font>
      <b/>
      <sz val="11"/>
      <color rgb="FFFF0000"/>
      <name val="Calibri"/>
      <family val="2"/>
      <scheme val="minor"/>
    </font>
    <font>
      <b/>
      <sz val="16"/>
      <color rgb="FFFF0000"/>
      <name val="Calibri"/>
      <family val="2"/>
      <scheme val="minor"/>
    </font>
    <font>
      <b/>
      <sz val="18"/>
      <color theme="0"/>
      <name val="Calibri"/>
      <family val="2"/>
      <scheme val="minor"/>
    </font>
    <font>
      <b/>
      <i/>
      <sz val="11"/>
      <color theme="3" tint="-0.24994659260841701"/>
      <name val="Calibri"/>
      <family val="2"/>
      <scheme val="minor"/>
    </font>
    <font>
      <b/>
      <sz val="11"/>
      <color theme="3" tint="-0.24994659260841701"/>
      <name val="Calibri"/>
      <family val="2"/>
      <scheme val="minor"/>
    </font>
    <font>
      <sz val="9"/>
      <color theme="3" tint="-0.249977111117893"/>
      <name val="Calibri"/>
      <family val="2"/>
      <scheme val="minor"/>
    </font>
    <font>
      <sz val="8"/>
      <name val="Calibri"/>
      <family val="2"/>
      <scheme val="minor"/>
    </font>
    <font>
      <sz val="8"/>
      <color theme="3" tint="-0.24994659260841701"/>
      <name val="Calibri"/>
      <family val="2"/>
      <scheme val="minor"/>
    </font>
    <font>
      <i/>
      <sz val="9"/>
      <color theme="3" tint="-0.249977111117893"/>
      <name val="Calibri"/>
      <family val="2"/>
      <scheme val="minor"/>
    </font>
    <font>
      <i/>
      <sz val="11"/>
      <color theme="1"/>
      <name val="Calibri"/>
      <family val="2"/>
      <scheme val="minor"/>
    </font>
    <font>
      <i/>
      <sz val="9"/>
      <color theme="3" tint="-0.24994659260841701"/>
      <name val="Calibri"/>
      <family val="2"/>
      <scheme val="minor"/>
    </font>
    <font>
      <i/>
      <sz val="11"/>
      <color theme="3" tint="-0.24994659260841701"/>
      <name val="Calibri"/>
      <family val="2"/>
      <scheme val="minor"/>
    </font>
    <font>
      <i/>
      <sz val="8"/>
      <color theme="3" tint="-0.24994659260841701"/>
      <name val="Calibri"/>
      <family val="2"/>
      <scheme val="minor"/>
    </font>
    <font>
      <i/>
      <sz val="11"/>
      <color theme="3" tint="-0.249977111117893"/>
      <name val="Calibri"/>
      <family val="2"/>
      <scheme val="minor"/>
    </font>
    <font>
      <b/>
      <sz val="11"/>
      <name val="Calibri"/>
      <family val="2"/>
      <scheme val="minor"/>
    </font>
    <font>
      <b/>
      <sz val="9"/>
      <color theme="3" tint="-0.249977111117893"/>
      <name val="Calibri"/>
      <family val="2"/>
      <scheme val="minor"/>
    </font>
    <font>
      <b/>
      <sz val="9"/>
      <color theme="1"/>
      <name val="Calibri"/>
      <family val="2"/>
      <scheme val="minor"/>
    </font>
    <font>
      <b/>
      <sz val="9"/>
      <name val="Calibri"/>
      <family val="2"/>
      <scheme val="minor"/>
    </font>
    <font>
      <b/>
      <sz val="9"/>
      <color theme="3" tint="-0.24994659260841701"/>
      <name val="Calibri"/>
      <family val="2"/>
      <scheme val="minor"/>
    </font>
    <font>
      <b/>
      <i/>
      <sz val="9"/>
      <color rgb="FFFF0000"/>
      <name val="Calibri"/>
      <family val="2"/>
      <scheme val="minor"/>
    </font>
    <font>
      <i/>
      <sz val="9"/>
      <color theme="1"/>
      <name val="Calibri"/>
      <family val="2"/>
      <scheme val="minor"/>
    </font>
    <font>
      <b/>
      <sz val="12"/>
      <color theme="3" tint="-0.249977111117893"/>
      <name val="Calibri"/>
      <family val="2"/>
      <scheme val="minor"/>
    </font>
    <font>
      <i/>
      <sz val="10"/>
      <color theme="3" tint="-0.249977111117893"/>
      <name val="Calibri"/>
      <family val="2"/>
      <scheme val="minor"/>
    </font>
    <font>
      <sz val="9"/>
      <color rgb="FFFF0000"/>
      <name val="Verdana"/>
      <family val="2"/>
    </font>
    <font>
      <b/>
      <u/>
      <sz val="9"/>
      <color rgb="FFFF0000"/>
      <name val="Verdana"/>
      <family val="2"/>
    </font>
    <font>
      <u/>
      <sz val="9"/>
      <color theme="1"/>
      <name val="Verdana"/>
      <family val="2"/>
    </font>
    <font>
      <b/>
      <u/>
      <sz val="9"/>
      <color theme="1"/>
      <name val="Verdana"/>
      <family val="2"/>
    </font>
    <font>
      <i/>
      <sz val="9"/>
      <name val="Verdana"/>
      <family val="2"/>
    </font>
    <font>
      <b/>
      <i/>
      <vertAlign val="superscript"/>
      <sz val="9"/>
      <color theme="1"/>
      <name val="Verdana"/>
      <family val="2"/>
    </font>
    <font>
      <sz val="8"/>
      <color theme="1"/>
      <name val="Verdana"/>
      <family val="2"/>
    </font>
  </fonts>
  <fills count="16">
    <fill>
      <patternFill patternType="none"/>
    </fill>
    <fill>
      <patternFill patternType="gray125"/>
    </fill>
    <fill>
      <patternFill patternType="solid">
        <fgColor rgb="FFC0000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83564"/>
        <bgColor indexed="64"/>
      </patternFill>
    </fill>
    <fill>
      <patternFill patternType="solid">
        <fgColor rgb="FF00B0F0"/>
        <bgColor indexed="64"/>
      </patternFill>
    </fill>
    <fill>
      <patternFill patternType="solid">
        <fgColor rgb="FF003366"/>
        <bgColor indexed="64"/>
      </patternFill>
    </fill>
    <fill>
      <patternFill patternType="solid">
        <fgColor rgb="FF99CC00"/>
        <bgColor indexed="64"/>
      </patternFill>
    </fill>
    <fill>
      <patternFill patternType="solid">
        <fgColor rgb="FF00800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s>
  <borders count="34">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ck">
        <color theme="0" tint="-0.34998626667073579"/>
      </right>
      <top style="thin">
        <color theme="0" tint="-0.34998626667073579"/>
      </top>
      <bottom/>
      <diagonal/>
    </border>
    <border>
      <left style="thin">
        <color theme="0" tint="-0.34998626667073579"/>
      </left>
      <right/>
      <top/>
      <bottom/>
      <diagonal/>
    </border>
    <border>
      <left/>
      <right style="thick">
        <color theme="0" tint="-0.34998626667073579"/>
      </right>
      <top/>
      <bottom/>
      <diagonal/>
    </border>
    <border>
      <left style="thin">
        <color theme="0" tint="-0.34998626667073579"/>
      </left>
      <right/>
      <top/>
      <bottom style="thick">
        <color theme="0" tint="-0.34998626667073579"/>
      </bottom>
      <diagonal/>
    </border>
    <border>
      <left/>
      <right/>
      <top/>
      <bottom style="thick">
        <color theme="0" tint="-0.34998626667073579"/>
      </bottom>
      <diagonal/>
    </border>
    <border>
      <left/>
      <right style="thick">
        <color theme="0" tint="-0.34998626667073579"/>
      </right>
      <top/>
      <bottom style="thick">
        <color theme="0" tint="-0.34998626667073579"/>
      </bottom>
      <diagonal/>
    </border>
    <border>
      <left style="thin">
        <color rgb="FFA6A6A6"/>
      </left>
      <right style="thin">
        <color rgb="FFA6A6A6"/>
      </right>
      <top style="thin">
        <color rgb="FFA6A6A6"/>
      </top>
      <bottom style="thin">
        <color rgb="FFA6A6A6"/>
      </bottom>
      <diagonal/>
    </border>
    <border>
      <left style="hair">
        <color theme="3"/>
      </left>
      <right/>
      <top/>
      <bottom style="hair">
        <color theme="3"/>
      </bottom>
      <diagonal/>
    </border>
    <border>
      <left/>
      <right/>
      <top/>
      <bottom style="hair">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3"/>
      </left>
      <right/>
      <top style="hair">
        <color theme="3"/>
      </top>
      <bottom style="hair">
        <color theme="3"/>
      </bottom>
      <diagonal/>
    </border>
    <border>
      <left/>
      <right/>
      <top style="hair">
        <color theme="3"/>
      </top>
      <bottom style="hair">
        <color theme="3"/>
      </bottom>
      <diagonal/>
    </border>
    <border>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diagonal/>
    </border>
    <border>
      <left/>
      <right style="hair">
        <color theme="3"/>
      </right>
      <top style="hair">
        <color theme="3"/>
      </top>
      <bottom/>
      <diagonal/>
    </border>
    <border>
      <left style="hair">
        <color theme="3"/>
      </left>
      <right style="hair">
        <color theme="3"/>
      </right>
      <top style="hair">
        <color theme="3"/>
      </top>
      <bottom/>
      <diagonal/>
    </border>
    <border>
      <left style="hair">
        <color theme="3"/>
      </left>
      <right/>
      <top/>
      <bottom/>
      <diagonal/>
    </border>
    <border>
      <left/>
      <right style="hair">
        <color theme="3"/>
      </right>
      <top/>
      <bottom/>
      <diagonal/>
    </border>
    <border>
      <left style="hair">
        <color theme="3"/>
      </left>
      <right style="hair">
        <color theme="3"/>
      </right>
      <top/>
      <bottom/>
      <diagonal/>
    </border>
    <border>
      <left/>
      <right style="hair">
        <color theme="3"/>
      </right>
      <top/>
      <bottom style="hair">
        <color theme="3"/>
      </bottom>
      <diagonal/>
    </border>
    <border>
      <left style="hair">
        <color theme="3"/>
      </left>
      <right style="hair">
        <color theme="3"/>
      </right>
      <top/>
      <bottom style="hair">
        <color theme="3"/>
      </bottom>
      <diagonal/>
    </border>
    <border>
      <left style="thin">
        <color rgb="FFA6A6A6"/>
      </left>
      <right style="thin">
        <color rgb="FFA6A6A6"/>
      </right>
      <top style="thin">
        <color rgb="FFA6A6A6"/>
      </top>
      <bottom/>
      <diagonal/>
    </border>
    <border>
      <left style="thin">
        <color rgb="FFA6A6A6"/>
      </left>
      <right style="thin">
        <color rgb="FFA6A6A6"/>
      </right>
      <top/>
      <bottom style="thin">
        <color rgb="FFA6A6A6"/>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xf numFmtId="0" fontId="30" fillId="0" borderId="0"/>
  </cellStyleXfs>
  <cellXfs count="316">
    <xf numFmtId="0" fontId="0" fillId="0" borderId="0" xfId="0"/>
    <xf numFmtId="0" fontId="12" fillId="0" borderId="0" xfId="4" applyFont="1" applyAlignment="1">
      <alignment horizontal="center" vertical="center"/>
    </xf>
    <xf numFmtId="0" fontId="13" fillId="0" borderId="0" xfId="0" applyFont="1" applyAlignment="1">
      <alignment vertical="center"/>
    </xf>
    <xf numFmtId="0" fontId="6" fillId="0" borderId="0" xfId="0" applyFont="1" applyAlignment="1">
      <alignment vertical="center"/>
    </xf>
    <xf numFmtId="0" fontId="14" fillId="0" borderId="0" xfId="0" applyFont="1" applyAlignment="1">
      <alignment vertical="center"/>
    </xf>
    <xf numFmtId="0" fontId="15" fillId="5" borderId="9"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0" borderId="0" xfId="0" applyFont="1" applyAlignment="1">
      <alignment horizontal="center" vertical="center"/>
    </xf>
    <xf numFmtId="0" fontId="13" fillId="0" borderId="0" xfId="0" applyFont="1" applyAlignment="1">
      <alignment horizontal="center" vertical="center"/>
    </xf>
    <xf numFmtId="0" fontId="18" fillId="6" borderId="0" xfId="0" applyFont="1" applyFill="1" applyAlignment="1">
      <alignment horizontal="center" vertical="center"/>
    </xf>
    <xf numFmtId="0" fontId="19" fillId="0" borderId="0" xfId="0" applyFont="1" applyAlignment="1">
      <alignment horizontal="center" vertical="center"/>
    </xf>
    <xf numFmtId="0" fontId="20" fillId="7" borderId="9" xfId="0" applyFont="1" applyFill="1" applyBorder="1" applyAlignment="1">
      <alignment horizontal="left" vertical="center" wrapText="1"/>
    </xf>
    <xf numFmtId="164" fontId="15" fillId="5" borderId="0" xfId="0" applyNumberFormat="1" applyFont="1" applyFill="1" applyAlignment="1">
      <alignment vertical="center"/>
    </xf>
    <xf numFmtId="164" fontId="16" fillId="5" borderId="0" xfId="0" applyNumberFormat="1" applyFont="1" applyFill="1" applyAlignment="1">
      <alignment vertical="center"/>
    </xf>
    <xf numFmtId="0" fontId="15" fillId="8" borderId="9" xfId="0" applyFont="1" applyFill="1" applyBorder="1" applyAlignment="1">
      <alignment horizontal="left" vertical="center" wrapText="1"/>
    </xf>
    <xf numFmtId="164" fontId="15" fillId="8" borderId="0" xfId="0" applyNumberFormat="1" applyFont="1" applyFill="1" applyAlignment="1">
      <alignment vertical="center"/>
    </xf>
    <xf numFmtId="164" fontId="16" fillId="8" borderId="0" xfId="0" applyNumberFormat="1" applyFont="1" applyFill="1" applyAlignment="1">
      <alignment vertical="center"/>
    </xf>
    <xf numFmtId="0" fontId="21" fillId="0" borderId="9" xfId="0" applyFont="1" applyBorder="1" applyAlignment="1">
      <alignment horizontal="left" vertical="center" wrapText="1"/>
    </xf>
    <xf numFmtId="164" fontId="6" fillId="6" borderId="0" xfId="0" applyNumberFormat="1" applyFont="1" applyFill="1" applyAlignment="1">
      <alignment vertical="center"/>
    </xf>
    <xf numFmtId="164" fontId="14" fillId="6" borderId="0" xfId="0" applyNumberFormat="1" applyFont="1" applyFill="1" applyAlignment="1">
      <alignment vertical="center"/>
    </xf>
    <xf numFmtId="0" fontId="15" fillId="8" borderId="9" xfId="0" quotePrefix="1" applyFont="1" applyFill="1" applyBorder="1" applyAlignment="1">
      <alignment horizontal="left" vertical="center" wrapText="1"/>
    </xf>
    <xf numFmtId="0" fontId="22" fillId="0" borderId="9" xfId="0" applyFont="1" applyBorder="1" applyAlignment="1">
      <alignment horizontal="left" vertical="center" wrapText="1"/>
    </xf>
    <xf numFmtId="0" fontId="20" fillId="9" borderId="9" xfId="0" applyFont="1" applyFill="1" applyBorder="1" applyAlignment="1">
      <alignment horizontal="left" vertical="center" wrapText="1"/>
    </xf>
    <xf numFmtId="0" fontId="20" fillId="8" borderId="9" xfId="0" applyFont="1" applyFill="1" applyBorder="1" applyAlignment="1">
      <alignment horizontal="left" vertical="center" wrapText="1"/>
    </xf>
    <xf numFmtId="164" fontId="23" fillId="6" borderId="0" xfId="0" applyNumberFormat="1" applyFont="1" applyFill="1" applyAlignment="1">
      <alignment vertical="center"/>
    </xf>
    <xf numFmtId="164" fontId="24" fillId="6" borderId="0" xfId="0" applyNumberFormat="1" applyFont="1" applyFill="1" applyAlignment="1">
      <alignment vertical="center"/>
    </xf>
    <xf numFmtId="0" fontId="25" fillId="0" borderId="9" xfId="0" applyFont="1" applyBorder="1" applyAlignment="1">
      <alignment horizontal="left" vertical="center" wrapText="1"/>
    </xf>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7" fillId="0" borderId="9" xfId="0" applyFont="1" applyBorder="1" applyAlignment="1">
      <alignment horizontal="left" vertical="center" wrapText="1"/>
    </xf>
    <xf numFmtId="0" fontId="27" fillId="6" borderId="9"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7" fillId="6" borderId="0" xfId="0" applyFont="1" applyFill="1" applyAlignment="1">
      <alignment horizontal="center" vertical="center" wrapText="1"/>
    </xf>
    <xf numFmtId="0" fontId="28" fillId="6" borderId="0" xfId="0" applyFont="1" applyFill="1" applyAlignment="1">
      <alignment horizontal="center" vertical="center" wrapText="1"/>
    </xf>
    <xf numFmtId="0" fontId="17" fillId="6" borderId="0" xfId="0" applyFont="1" applyFill="1" applyAlignment="1">
      <alignment horizontal="center" vertical="center" wrapText="1"/>
    </xf>
    <xf numFmtId="164" fontId="17" fillId="6" borderId="0" xfId="0" applyNumberFormat="1" applyFont="1" applyFill="1" applyAlignment="1">
      <alignment vertical="center"/>
    </xf>
    <xf numFmtId="0" fontId="29" fillId="6" borderId="0" xfId="0" applyFont="1" applyFill="1" applyAlignment="1">
      <alignment vertical="center"/>
    </xf>
    <xf numFmtId="4" fontId="17" fillId="6" borderId="0" xfId="0" applyNumberFormat="1" applyFont="1" applyFill="1" applyAlignment="1">
      <alignment vertical="center"/>
    </xf>
    <xf numFmtId="165" fontId="15" fillId="8" borderId="0" xfId="0" applyNumberFormat="1" applyFont="1" applyFill="1" applyAlignment="1">
      <alignment vertical="center"/>
    </xf>
    <xf numFmtId="165" fontId="16" fillId="8" borderId="0" xfId="0" applyNumberFormat="1" applyFont="1" applyFill="1" applyAlignment="1">
      <alignment vertical="center"/>
    </xf>
    <xf numFmtId="165" fontId="15" fillId="5" borderId="0" xfId="0" applyNumberFormat="1" applyFont="1" applyFill="1" applyAlignment="1">
      <alignment vertical="center"/>
    </xf>
    <xf numFmtId="165" fontId="16" fillId="5" borderId="0" xfId="0" applyNumberFormat="1" applyFont="1" applyFill="1" applyAlignment="1">
      <alignment vertical="center"/>
    </xf>
    <xf numFmtId="0" fontId="25" fillId="0" borderId="0" xfId="0" applyFont="1" applyAlignment="1">
      <alignment vertical="center"/>
    </xf>
    <xf numFmtId="165" fontId="25" fillId="6" borderId="9" xfId="5" applyNumberFormat="1" applyFont="1" applyFill="1" applyBorder="1" applyAlignment="1">
      <alignment horizontal="right" vertical="center" wrapText="1"/>
    </xf>
    <xf numFmtId="165" fontId="26" fillId="6" borderId="9" xfId="5" applyNumberFormat="1" applyFont="1" applyFill="1" applyBorder="1" applyAlignment="1">
      <alignment horizontal="right" vertical="center" wrapText="1"/>
    </xf>
    <xf numFmtId="164" fontId="25" fillId="6" borderId="9" xfId="5" applyNumberFormat="1" applyFont="1" applyFill="1" applyBorder="1" applyAlignment="1">
      <alignment horizontal="right" vertical="center" wrapText="1"/>
    </xf>
    <xf numFmtId="164" fontId="26" fillId="6" borderId="9" xfId="5" applyNumberFormat="1" applyFont="1" applyFill="1" applyBorder="1" applyAlignment="1">
      <alignment horizontal="right" vertical="center" wrapText="1"/>
    </xf>
    <xf numFmtId="164" fontId="25" fillId="6" borderId="9" xfId="0" applyNumberFormat="1" applyFont="1" applyFill="1" applyBorder="1" applyAlignment="1">
      <alignment horizontal="right" vertical="center" wrapText="1"/>
    </xf>
    <xf numFmtId="164" fontId="26" fillId="6" borderId="9" xfId="0" applyNumberFormat="1" applyFont="1" applyFill="1" applyBorder="1" applyAlignment="1">
      <alignment horizontal="right" vertical="center" wrapText="1"/>
    </xf>
    <xf numFmtId="164" fontId="21" fillId="6" borderId="9" xfId="0" applyNumberFormat="1" applyFont="1" applyFill="1" applyBorder="1" applyAlignment="1">
      <alignment horizontal="right" vertical="center" wrapText="1"/>
    </xf>
    <xf numFmtId="164" fontId="31" fillId="6" borderId="9" xfId="0" applyNumberFormat="1" applyFont="1" applyFill="1" applyBorder="1" applyAlignment="1">
      <alignment horizontal="right" vertical="center" wrapText="1"/>
    </xf>
    <xf numFmtId="4" fontId="21" fillId="6" borderId="9" xfId="0" applyNumberFormat="1" applyFont="1" applyFill="1" applyBorder="1" applyAlignment="1">
      <alignment horizontal="right" vertical="center" wrapText="1"/>
    </xf>
    <xf numFmtId="4" fontId="31" fillId="6" borderId="9" xfId="0" applyNumberFormat="1" applyFont="1" applyFill="1" applyBorder="1" applyAlignment="1">
      <alignment horizontal="right" vertical="center" wrapText="1"/>
    </xf>
    <xf numFmtId="0" fontId="23" fillId="10" borderId="9" xfId="0" applyFont="1" applyFill="1" applyBorder="1" applyAlignment="1">
      <alignment horizontal="left" vertical="center" wrapText="1"/>
    </xf>
    <xf numFmtId="164" fontId="23" fillId="6" borderId="9" xfId="0" applyNumberFormat="1" applyFont="1" applyFill="1" applyBorder="1" applyAlignment="1">
      <alignment horizontal="right" vertical="center" wrapText="1"/>
    </xf>
    <xf numFmtId="164" fontId="24" fillId="6" borderId="9" xfId="0" applyNumberFormat="1" applyFont="1" applyFill="1" applyBorder="1" applyAlignment="1">
      <alignment horizontal="right" vertical="center" wrapText="1"/>
    </xf>
    <xf numFmtId="0" fontId="23" fillId="11" borderId="9" xfId="0" applyFont="1" applyFill="1" applyBorder="1" applyAlignment="1">
      <alignment horizontal="left" vertical="center" wrapText="1"/>
    </xf>
    <xf numFmtId="0" fontId="17" fillId="12" borderId="0" xfId="0" applyFont="1" applyFill="1" applyAlignment="1">
      <alignment horizontal="center" vertical="center"/>
    </xf>
    <xf numFmtId="0" fontId="6" fillId="12" borderId="0" xfId="0" applyFont="1" applyFill="1" applyAlignment="1">
      <alignment vertical="center"/>
    </xf>
    <xf numFmtId="0" fontId="14" fillId="12" borderId="0" xfId="0" applyFont="1" applyFill="1" applyAlignment="1">
      <alignment vertical="center"/>
    </xf>
    <xf numFmtId="0" fontId="0" fillId="0" borderId="0" xfId="0" applyAlignment="1" applyProtection="1">
      <alignment vertical="center"/>
      <protection locked="0"/>
    </xf>
    <xf numFmtId="0" fontId="11" fillId="0" borderId="0" xfId="4" applyAlignment="1">
      <alignment horizontal="center" vertical="center"/>
    </xf>
    <xf numFmtId="0" fontId="10" fillId="0" borderId="0" xfId="0" applyFont="1" applyAlignment="1" applyProtection="1">
      <alignment vertical="center"/>
      <protection locked="0"/>
    </xf>
    <xf numFmtId="0" fontId="0" fillId="0" borderId="0" xfId="0" applyAlignment="1" applyProtection="1">
      <alignment horizontal="right" vertical="center"/>
      <protection locked="0"/>
    </xf>
    <xf numFmtId="0" fontId="35" fillId="0" borderId="0" xfId="0" applyFont="1" applyAlignment="1" applyProtection="1">
      <alignment horizontal="center" vertical="center"/>
      <protection locked="0"/>
    </xf>
    <xf numFmtId="0" fontId="32" fillId="0" borderId="0" xfId="0" applyFont="1" applyFill="1" applyAlignment="1" applyProtection="1">
      <alignment horizontal="center" vertical="center"/>
    </xf>
    <xf numFmtId="0" fontId="36" fillId="0" borderId="0" xfId="0" applyFont="1" applyAlignment="1" applyProtection="1">
      <alignment horizontal="center" vertical="center" wrapText="1"/>
      <protection locked="0"/>
    </xf>
    <xf numFmtId="0" fontId="9" fillId="14" borderId="23" xfId="0" applyFont="1" applyFill="1" applyBorder="1" applyAlignment="1" applyProtection="1">
      <alignment horizontal="center" vertical="center" wrapText="1"/>
      <protection locked="0"/>
    </xf>
    <xf numFmtId="0" fontId="37" fillId="0" borderId="0" xfId="0" applyFont="1" applyAlignment="1" applyProtection="1">
      <alignment horizontal="center" vertical="center"/>
      <protection locked="0"/>
    </xf>
    <xf numFmtId="0" fontId="37" fillId="0" borderId="0" xfId="0" applyFont="1" applyAlignment="1" applyProtection="1">
      <alignment horizontal="right" vertical="center"/>
      <protection locked="0"/>
    </xf>
    <xf numFmtId="0" fontId="39" fillId="0" borderId="0" xfId="0" applyFont="1" applyAlignment="1" applyProtection="1">
      <alignment vertical="center"/>
      <protection locked="0"/>
    </xf>
    <xf numFmtId="165" fontId="36" fillId="0" borderId="0" xfId="2" applyNumberFormat="1"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9" fontId="1" fillId="0" borderId="23" xfId="3" applyFont="1" applyBorder="1" applyAlignment="1" applyProtection="1">
      <alignment horizontal="right" vertical="center"/>
      <protection locked="0"/>
    </xf>
    <xf numFmtId="165" fontId="1" fillId="0" borderId="23" xfId="3" applyNumberFormat="1" applyFont="1" applyBorder="1" applyAlignment="1" applyProtection="1">
      <alignment horizontal="right" vertical="center"/>
      <protection locked="0"/>
    </xf>
    <xf numFmtId="165" fontId="9" fillId="14" borderId="23" xfId="2" applyNumberFormat="1"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9" fillId="0" borderId="0" xfId="0" applyFont="1" applyAlignment="1" applyProtection="1">
      <alignment horizontal="right" vertical="center"/>
      <protection locked="0"/>
    </xf>
    <xf numFmtId="164" fontId="9" fillId="0" borderId="0" xfId="0" applyNumberFormat="1" applyFont="1" applyAlignment="1" applyProtection="1">
      <alignment horizontal="center" vertical="center"/>
      <protection locked="0"/>
    </xf>
    <xf numFmtId="3" fontId="41" fillId="0" borderId="0" xfId="0" applyNumberFormat="1" applyFont="1" applyAlignment="1" applyProtection="1">
      <alignment horizontal="center" vertical="center"/>
      <protection locked="0"/>
    </xf>
    <xf numFmtId="0" fontId="41" fillId="0" borderId="0" xfId="0" applyFont="1" applyAlignment="1" applyProtection="1">
      <alignment vertical="center"/>
      <protection locked="0"/>
    </xf>
    <xf numFmtId="3" fontId="1" fillId="0" borderId="23" xfId="3" applyNumberFormat="1" applyFont="1" applyBorder="1" applyAlignment="1" applyProtection="1">
      <alignment horizontal="right" vertical="center"/>
      <protection locked="0"/>
    </xf>
    <xf numFmtId="164" fontId="10" fillId="0" borderId="0" xfId="2" applyNumberFormat="1" applyFont="1" applyBorder="1" applyAlignment="1" applyProtection="1">
      <alignment horizontal="center" vertical="center"/>
    </xf>
    <xf numFmtId="0" fontId="40" fillId="0" borderId="0" xfId="0" applyFont="1" applyAlignment="1" applyProtection="1">
      <alignment horizontal="right" vertical="center"/>
      <protection locked="0"/>
    </xf>
    <xf numFmtId="0" fontId="41" fillId="0" borderId="0" xfId="0" applyFont="1" applyAlignment="1" applyProtection="1">
      <alignment horizontal="center" vertical="center"/>
      <protection locked="0"/>
    </xf>
    <xf numFmtId="0" fontId="44" fillId="0" borderId="0" xfId="0" applyFont="1" applyAlignment="1" applyProtection="1">
      <alignment vertical="center"/>
      <protection locked="0"/>
    </xf>
    <xf numFmtId="0" fontId="45"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39" fillId="0" borderId="24" xfId="0" applyFont="1" applyBorder="1" applyAlignment="1" applyProtection="1">
      <alignment vertical="center"/>
      <protection locked="0"/>
    </xf>
    <xf numFmtId="0" fontId="47" fillId="0" borderId="25" xfId="0" applyFont="1" applyBorder="1" applyAlignment="1" applyProtection="1">
      <alignment vertical="center" wrapText="1"/>
      <protection locked="0"/>
    </xf>
    <xf numFmtId="164" fontId="41" fillId="0" borderId="26" xfId="2" applyNumberFormat="1" applyFont="1" applyBorder="1" applyAlignment="1" applyProtection="1">
      <alignment horizontal="right" vertical="center"/>
      <protection locked="0"/>
    </xf>
    <xf numFmtId="165" fontId="41" fillId="0" borderId="26" xfId="2" applyNumberFormat="1" applyFont="1" applyBorder="1" applyAlignment="1" applyProtection="1">
      <alignment horizontal="right" vertical="center"/>
      <protection locked="0"/>
    </xf>
    <xf numFmtId="9" fontId="48" fillId="0" borderId="0" xfId="3" applyFont="1" applyFill="1" applyBorder="1" applyAlignment="1" applyProtection="1">
      <alignment horizontal="right" vertical="center"/>
      <protection locked="0"/>
    </xf>
    <xf numFmtId="9" fontId="49" fillId="0" borderId="0" xfId="3" applyFont="1" applyFill="1" applyBorder="1" applyAlignment="1" applyProtection="1">
      <alignment horizontal="right" vertical="center"/>
      <protection locked="0"/>
    </xf>
    <xf numFmtId="9" fontId="49" fillId="0" borderId="0" xfId="3" applyFont="1" applyFill="1" applyBorder="1" applyAlignment="1" applyProtection="1">
      <alignment horizontal="left" vertical="center"/>
      <protection locked="0"/>
    </xf>
    <xf numFmtId="9" fontId="1" fillId="0" borderId="26" xfId="3" applyFont="1" applyBorder="1" applyAlignment="1" applyProtection="1">
      <alignment horizontal="right" vertical="center"/>
      <protection locked="0"/>
    </xf>
    <xf numFmtId="164" fontId="1" fillId="0" borderId="26" xfId="3" applyNumberFormat="1" applyFont="1" applyBorder="1" applyAlignment="1" applyProtection="1">
      <alignment horizontal="right" vertical="center"/>
      <protection locked="0"/>
    </xf>
    <xf numFmtId="0" fontId="39" fillId="0" borderId="27" xfId="0" applyFont="1" applyBorder="1" applyAlignment="1" applyProtection="1">
      <alignment vertical="center" wrapText="1"/>
      <protection locked="0"/>
    </xf>
    <xf numFmtId="0" fontId="50" fillId="0" borderId="28" xfId="0" applyFont="1" applyBorder="1" applyAlignment="1" applyProtection="1">
      <alignment horizontal="right" vertical="center"/>
      <protection locked="0"/>
    </xf>
    <xf numFmtId="0" fontId="51" fillId="0" borderId="0" xfId="0" applyFont="1" applyAlignment="1" applyProtection="1">
      <alignment vertical="center"/>
      <protection locked="0"/>
    </xf>
    <xf numFmtId="164" fontId="52" fillId="0" borderId="29" xfId="2" applyNumberFormat="1" applyFont="1" applyBorder="1" applyAlignment="1" applyProtection="1">
      <alignment horizontal="right" vertical="center"/>
      <protection locked="0"/>
    </xf>
    <xf numFmtId="0" fontId="53" fillId="0" borderId="0" xfId="0" applyFont="1" applyAlignment="1" applyProtection="1">
      <alignment vertical="center"/>
      <protection locked="0"/>
    </xf>
    <xf numFmtId="165" fontId="52" fillId="0" borderId="29" xfId="2" applyNumberFormat="1" applyFont="1" applyBorder="1" applyAlignment="1" applyProtection="1">
      <alignment horizontal="right" vertical="center"/>
      <protection locked="0"/>
    </xf>
    <xf numFmtId="9" fontId="54" fillId="0" borderId="0" xfId="3" applyFont="1" applyFill="1" applyBorder="1" applyAlignment="1" applyProtection="1">
      <alignment horizontal="left" vertical="center"/>
      <protection locked="0"/>
    </xf>
    <xf numFmtId="9" fontId="1" fillId="0" borderId="29" xfId="3" applyFont="1" applyBorder="1" applyAlignment="1" applyProtection="1">
      <alignment horizontal="right" vertical="center"/>
      <protection locked="0"/>
    </xf>
    <xf numFmtId="164" fontId="51" fillId="0" borderId="29" xfId="3" applyNumberFormat="1" applyFont="1" applyBorder="1" applyAlignment="1" applyProtection="1">
      <alignment horizontal="right" vertical="center"/>
      <protection locked="0"/>
    </xf>
    <xf numFmtId="0" fontId="39" fillId="0" borderId="27" xfId="0" applyFont="1" applyBorder="1" applyAlignment="1" applyProtection="1">
      <alignment horizontal="left" vertical="center"/>
      <protection locked="0"/>
    </xf>
    <xf numFmtId="0" fontId="39" fillId="0" borderId="27" xfId="0" applyFont="1" applyBorder="1" applyAlignment="1" applyProtection="1">
      <alignment vertical="center"/>
      <protection locked="0"/>
    </xf>
    <xf numFmtId="0" fontId="47" fillId="0" borderId="28" xfId="0" applyFont="1" applyBorder="1" applyAlignment="1" applyProtection="1">
      <alignment vertical="center" wrapText="1"/>
      <protection locked="0"/>
    </xf>
    <xf numFmtId="164" fontId="41" fillId="0" borderId="29" xfId="2" applyNumberFormat="1" applyFont="1" applyBorder="1" applyAlignment="1" applyProtection="1">
      <alignment horizontal="right" vertical="center"/>
      <protection locked="0"/>
    </xf>
    <xf numFmtId="165" fontId="41" fillId="0" borderId="29" xfId="2" applyNumberFormat="1" applyFont="1" applyBorder="1" applyAlignment="1" applyProtection="1">
      <alignment horizontal="right" vertical="center"/>
      <protection locked="0"/>
    </xf>
    <xf numFmtId="164" fontId="1" fillId="0" borderId="29" xfId="3" applyNumberFormat="1" applyFont="1" applyBorder="1" applyAlignment="1" applyProtection="1">
      <alignment horizontal="right" vertical="center"/>
      <protection locked="0"/>
    </xf>
    <xf numFmtId="0" fontId="51" fillId="0" borderId="10" xfId="0" applyFont="1" applyBorder="1" applyAlignment="1" applyProtection="1">
      <alignment vertical="center"/>
      <protection locked="0"/>
    </xf>
    <xf numFmtId="0" fontId="55" fillId="0" borderId="30" xfId="0" applyFont="1" applyBorder="1" applyAlignment="1" applyProtection="1">
      <alignment horizontal="right" vertical="center"/>
      <protection locked="0"/>
    </xf>
    <xf numFmtId="164" fontId="53" fillId="0" borderId="31" xfId="2" applyNumberFormat="1" applyFont="1" applyBorder="1" applyAlignment="1" applyProtection="1">
      <alignment horizontal="right" vertical="center"/>
      <protection locked="0"/>
    </xf>
    <xf numFmtId="9" fontId="51" fillId="0" borderId="31" xfId="3" applyFont="1" applyBorder="1" applyAlignment="1" applyProtection="1">
      <alignment horizontal="right" vertical="center"/>
      <protection locked="0"/>
    </xf>
    <xf numFmtId="164" fontId="51" fillId="0" borderId="31" xfId="3" applyNumberFormat="1" applyFont="1" applyBorder="1" applyAlignment="1" applyProtection="1">
      <alignment horizontal="right" vertical="center"/>
      <protection locked="0"/>
    </xf>
    <xf numFmtId="0" fontId="39"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166" fontId="41" fillId="0" borderId="0" xfId="0" applyNumberFormat="1" applyFont="1" applyAlignment="1" applyProtection="1">
      <alignment vertical="center"/>
      <protection locked="0"/>
    </xf>
    <xf numFmtId="165" fontId="41" fillId="0" borderId="0" xfId="2" applyNumberFormat="1" applyFont="1" applyBorder="1" applyAlignment="1" applyProtection="1">
      <alignment vertical="center"/>
      <protection locked="0"/>
    </xf>
    <xf numFmtId="164" fontId="0" fillId="0" borderId="0" xfId="0" applyNumberFormat="1" applyAlignment="1" applyProtection="1">
      <alignment horizontal="right" vertical="center"/>
      <protection locked="0"/>
    </xf>
    <xf numFmtId="164" fontId="10" fillId="0" borderId="0" xfId="2" applyNumberFormat="1" applyFont="1" applyBorder="1" applyAlignment="1" applyProtection="1">
      <alignment horizontal="center" vertical="center"/>
      <protection locked="0"/>
    </xf>
    <xf numFmtId="0" fontId="36" fillId="0" borderId="0" xfId="0" applyFont="1" applyAlignment="1" applyProtection="1">
      <alignment horizontal="right" vertical="center"/>
      <protection locked="0"/>
    </xf>
    <xf numFmtId="164" fontId="56" fillId="0" borderId="23" xfId="3" applyNumberFormat="1" applyFont="1" applyBorder="1" applyAlignment="1" applyProtection="1">
      <alignment horizontal="right" vertical="center"/>
      <protection locked="0"/>
    </xf>
    <xf numFmtId="165" fontId="56" fillId="0" borderId="23" xfId="3" applyNumberFormat="1" applyFont="1" applyBorder="1" applyAlignment="1" applyProtection="1">
      <alignment horizontal="right" vertical="center"/>
      <protection locked="0"/>
    </xf>
    <xf numFmtId="165" fontId="46" fillId="0" borderId="0" xfId="2" applyNumberFormat="1" applyFont="1" applyFill="1" applyBorder="1" applyAlignment="1" applyProtection="1">
      <alignment vertical="center"/>
      <protection locked="0"/>
    </xf>
    <xf numFmtId="164" fontId="1" fillId="0" borderId="23" xfId="3" applyNumberFormat="1" applyFont="1" applyBorder="1" applyAlignment="1" applyProtection="1">
      <alignment horizontal="right" vertical="center"/>
      <protection locked="0"/>
    </xf>
    <xf numFmtId="0" fontId="57" fillId="0" borderId="0" xfId="0" applyFont="1" applyAlignment="1" applyProtection="1">
      <alignment horizontal="right" vertical="center"/>
      <protection locked="0"/>
    </xf>
    <xf numFmtId="0" fontId="58" fillId="0" borderId="0" xfId="0" applyFont="1" applyAlignment="1" applyProtection="1">
      <alignment vertical="center"/>
      <protection locked="0"/>
    </xf>
    <xf numFmtId="164" fontId="59" fillId="0" borderId="23" xfId="3" applyNumberFormat="1" applyFont="1" applyBorder="1" applyAlignment="1" applyProtection="1">
      <alignment horizontal="right" vertical="center"/>
      <protection locked="0"/>
    </xf>
    <xf numFmtId="0" fontId="60" fillId="0" borderId="0" xfId="0" applyFont="1" applyAlignment="1" applyProtection="1">
      <alignment vertical="center"/>
      <protection locked="0"/>
    </xf>
    <xf numFmtId="165" fontId="59" fillId="0" borderId="23" xfId="3" applyNumberFormat="1" applyFont="1" applyBorder="1" applyAlignment="1" applyProtection="1">
      <alignment horizontal="right" vertical="center"/>
      <protection locked="0"/>
    </xf>
    <xf numFmtId="165" fontId="60" fillId="0" borderId="0" xfId="2" applyNumberFormat="1" applyFont="1" applyFill="1" applyBorder="1" applyAlignment="1" applyProtection="1">
      <alignment vertical="center"/>
      <protection locked="0"/>
    </xf>
    <xf numFmtId="9" fontId="58" fillId="0" borderId="23" xfId="3" applyFont="1" applyBorder="1" applyAlignment="1" applyProtection="1">
      <alignment horizontal="right" vertical="center"/>
      <protection locked="0"/>
    </xf>
    <xf numFmtId="164" fontId="58" fillId="0" borderId="23" xfId="3" applyNumberFormat="1" applyFont="1" applyBorder="1" applyAlignment="1" applyProtection="1">
      <alignment horizontal="right" vertical="center"/>
      <protection locked="0"/>
    </xf>
    <xf numFmtId="0" fontId="61" fillId="0" borderId="0" xfId="0" applyFont="1" applyAlignment="1" applyProtection="1">
      <alignment horizontal="right" vertical="center"/>
      <protection locked="0"/>
    </xf>
    <xf numFmtId="0" fontId="62" fillId="0" borderId="0" xfId="0" applyFont="1" applyAlignment="1" applyProtection="1">
      <alignment vertical="center"/>
      <protection locked="0"/>
    </xf>
    <xf numFmtId="164" fontId="62" fillId="0" borderId="0" xfId="0" applyNumberFormat="1" applyFont="1" applyAlignment="1" applyProtection="1">
      <alignment vertical="center"/>
      <protection locked="0"/>
    </xf>
    <xf numFmtId="0" fontId="63" fillId="0" borderId="0" xfId="0" applyFont="1" applyAlignment="1" applyProtection="1">
      <alignment horizontal="right" vertical="center"/>
      <protection locked="0"/>
    </xf>
    <xf numFmtId="0" fontId="44" fillId="0" borderId="0" xfId="0" applyFont="1" applyAlignment="1" applyProtection="1">
      <alignment horizontal="center" vertical="center"/>
      <protection locked="0"/>
    </xf>
    <xf numFmtId="0" fontId="44" fillId="0" borderId="0" xfId="0" applyFont="1" applyAlignment="1" applyProtection="1">
      <alignment horizontal="right" vertical="center"/>
      <protection locked="0"/>
    </xf>
    <xf numFmtId="0" fontId="64" fillId="0" borderId="25" xfId="0" applyFont="1" applyBorder="1" applyAlignment="1" applyProtection="1">
      <alignment horizontal="right" vertical="center"/>
      <protection locked="0"/>
    </xf>
    <xf numFmtId="4" fontId="46" fillId="0" borderId="26" xfId="0" applyNumberFormat="1" applyFont="1" applyBorder="1" applyAlignment="1" applyProtection="1">
      <alignment horizontal="center" vertical="center"/>
      <protection locked="0"/>
    </xf>
    <xf numFmtId="167" fontId="41" fillId="0" borderId="0" xfId="0" applyNumberFormat="1" applyFont="1" applyAlignment="1" applyProtection="1">
      <alignment vertical="center"/>
      <protection locked="0"/>
    </xf>
    <xf numFmtId="9" fontId="54" fillId="0" borderId="0" xfId="3" applyFont="1" applyBorder="1" applyAlignment="1" applyProtection="1">
      <alignment horizontal="center" vertical="center"/>
      <protection locked="0"/>
    </xf>
    <xf numFmtId="4" fontId="1" fillId="0" borderId="26" xfId="3" applyNumberFormat="1" applyFont="1" applyBorder="1" applyAlignment="1" applyProtection="1">
      <alignment horizontal="right" vertical="center"/>
      <protection locked="0"/>
    </xf>
    <xf numFmtId="0" fontId="49" fillId="0" borderId="0" xfId="0" applyFont="1" applyAlignment="1" applyProtection="1">
      <alignment horizontal="left" vertical="center"/>
      <protection locked="0"/>
    </xf>
    <xf numFmtId="164" fontId="9" fillId="14" borderId="23" xfId="2" applyNumberFormat="1" applyFont="1" applyFill="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47" fillId="0" borderId="30" xfId="0" applyFont="1" applyBorder="1" applyAlignment="1" applyProtection="1">
      <alignment vertical="center" wrapText="1"/>
      <protection locked="0"/>
    </xf>
    <xf numFmtId="168" fontId="41" fillId="0" borderId="31" xfId="1" applyNumberFormat="1" applyFont="1" applyBorder="1" applyAlignment="1" applyProtection="1">
      <alignment horizontal="center" vertical="center"/>
      <protection locked="0"/>
    </xf>
    <xf numFmtId="3" fontId="41" fillId="0" borderId="0" xfId="0" applyNumberFormat="1" applyFont="1" applyAlignment="1" applyProtection="1">
      <alignment vertical="center"/>
      <protection locked="0"/>
    </xf>
    <xf numFmtId="9" fontId="1" fillId="0" borderId="31" xfId="3" applyFont="1" applyBorder="1" applyAlignment="1" applyProtection="1">
      <alignment horizontal="right" vertical="center"/>
      <protection locked="0"/>
    </xf>
    <xf numFmtId="3" fontId="1" fillId="0" borderId="31" xfId="3" applyNumberFormat="1" applyFont="1" applyBorder="1" applyAlignment="1" applyProtection="1">
      <alignment horizontal="right" vertical="center"/>
      <protection locked="0"/>
    </xf>
    <xf numFmtId="0" fontId="36" fillId="0" borderId="0" xfId="0" applyFont="1" applyAlignment="1" applyProtection="1">
      <alignment horizontal="center" vertical="center" textRotation="90"/>
      <protection locked="0"/>
    </xf>
    <xf numFmtId="0" fontId="4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vertical="center"/>
    </xf>
    <xf numFmtId="0" fontId="0" fillId="0" borderId="5" xfId="0"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Alignment="1">
      <alignment vertical="center" wrapText="1"/>
    </xf>
    <xf numFmtId="0" fontId="0" fillId="0" borderId="4" xfId="0" applyBorder="1" applyAlignment="1">
      <alignment vertical="center" wrapText="1"/>
    </xf>
    <xf numFmtId="0" fontId="3" fillId="0" borderId="4" xfId="0" applyFont="1" applyBorder="1" applyAlignment="1">
      <alignment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6" xfId="0" applyFont="1" applyBorder="1" applyAlignment="1">
      <alignment vertical="center"/>
    </xf>
    <xf numFmtId="0" fontId="2" fillId="0" borderId="0" xfId="0" applyFont="1" applyAlignment="1">
      <alignment vertical="center"/>
    </xf>
    <xf numFmtId="0" fontId="71" fillId="0" borderId="0" xfId="0" applyFont="1" applyAlignment="1" applyProtection="1">
      <alignment vertical="center"/>
      <protection locked="0"/>
    </xf>
    <xf numFmtId="0" fontId="0" fillId="0" borderId="0" xfId="0" applyBorder="1" applyAlignment="1">
      <alignment vertical="center"/>
    </xf>
    <xf numFmtId="0" fontId="3" fillId="0" borderId="0" xfId="0" applyFont="1" applyBorder="1" applyAlignment="1">
      <alignment horizontal="right" vertical="center"/>
    </xf>
    <xf numFmtId="16" fontId="0" fillId="0" borderId="0" xfId="0" applyNumberFormat="1" applyBorder="1" applyAlignment="1">
      <alignment horizontal="right" vertical="center"/>
    </xf>
    <xf numFmtId="0" fontId="7"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6" fillId="0" borderId="0" xfId="0" applyFont="1" applyBorder="1" applyAlignment="1">
      <alignment horizontal="right" vertical="center" wrapText="1"/>
    </xf>
    <xf numFmtId="0" fontId="0" fillId="0" borderId="3" xfId="0" applyBorder="1" applyAlignment="1">
      <alignment vertical="center"/>
    </xf>
    <xf numFmtId="0" fontId="22" fillId="0" borderId="4" xfId="0" quotePrefix="1" applyFont="1" applyBorder="1" applyAlignment="1">
      <alignment vertical="top"/>
    </xf>
    <xf numFmtId="0" fontId="6" fillId="0" borderId="4" xfId="0" applyFont="1" applyBorder="1" applyAlignment="1">
      <alignment vertical="top"/>
    </xf>
    <xf numFmtId="0" fontId="6" fillId="0" borderId="0" xfId="0" applyFont="1" applyBorder="1" applyAlignment="1">
      <alignment vertical="top"/>
    </xf>
    <xf numFmtId="0" fontId="6" fillId="0" borderId="5" xfId="0" applyFont="1" applyBorder="1" applyAlignment="1">
      <alignment vertical="top"/>
    </xf>
    <xf numFmtId="0" fontId="29" fillId="0" borderId="4" xfId="0" applyFont="1" applyBorder="1" applyAlignment="1">
      <alignment vertical="top"/>
    </xf>
    <xf numFmtId="0" fontId="6" fillId="0" borderId="0" xfId="0" applyFont="1" applyAlignment="1">
      <alignment vertical="top"/>
    </xf>
    <xf numFmtId="0" fontId="6" fillId="0" borderId="4" xfId="0" quotePrefix="1" applyFont="1" applyBorder="1" applyAlignment="1">
      <alignment vertical="top"/>
    </xf>
    <xf numFmtId="0" fontId="22" fillId="0" borderId="4" xfId="0" applyFont="1" applyBorder="1" applyAlignment="1">
      <alignment vertical="top"/>
    </xf>
    <xf numFmtId="0" fontId="22" fillId="0" borderId="4" xfId="0" applyFont="1" applyBorder="1" applyAlignment="1">
      <alignment horizontal="justify" vertical="top" wrapText="1"/>
    </xf>
    <xf numFmtId="0" fontId="22" fillId="0" borderId="0" xfId="0" applyFont="1" applyAlignment="1">
      <alignment horizontal="justify" vertical="top" wrapText="1"/>
    </xf>
    <xf numFmtId="0" fontId="22" fillId="0" borderId="5" xfId="0" applyFont="1" applyBorder="1" applyAlignment="1">
      <alignment horizontal="justify" vertical="top" wrapText="1"/>
    </xf>
    <xf numFmtId="0" fontId="65" fillId="0" borderId="4" xfId="0" applyFont="1" applyBorder="1" applyAlignment="1">
      <alignment horizontal="left" vertical="top"/>
    </xf>
    <xf numFmtId="0" fontId="65" fillId="0" borderId="0" xfId="0" applyFont="1" applyBorder="1" applyAlignment="1">
      <alignment horizontal="left" vertical="top"/>
    </xf>
    <xf numFmtId="0" fontId="65" fillId="0" borderId="5" xfId="0" applyFont="1" applyBorder="1" applyAlignment="1">
      <alignment horizontal="left" vertical="top"/>
    </xf>
    <xf numFmtId="0" fontId="65" fillId="0" borderId="6" xfId="0" applyFont="1" applyBorder="1" applyAlignment="1">
      <alignment vertical="top"/>
    </xf>
    <xf numFmtId="0" fontId="6" fillId="0" borderId="7" xfId="0" applyFont="1" applyBorder="1" applyAlignment="1">
      <alignment vertical="top"/>
    </xf>
    <xf numFmtId="0" fontId="6" fillId="0" borderId="8" xfId="0" applyFont="1" applyBorder="1" applyAlignment="1">
      <alignment vertical="top"/>
    </xf>
    <xf numFmtId="0" fontId="65" fillId="0" borderId="4" xfId="0" applyFont="1" applyBorder="1" applyAlignment="1">
      <alignment vertical="top"/>
    </xf>
    <xf numFmtId="0" fontId="17" fillId="0" borderId="4" xfId="0" quotePrefix="1"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164" fontId="41" fillId="0" borderId="29" xfId="2" applyNumberFormat="1" applyFont="1" applyFill="1" applyBorder="1" applyAlignment="1" applyProtection="1">
      <alignment horizontal="center" vertical="center"/>
      <protection locked="0"/>
    </xf>
    <xf numFmtId="164" fontId="41" fillId="0" borderId="29" xfId="2" applyNumberFormat="1" applyFont="1" applyBorder="1" applyAlignment="1" applyProtection="1">
      <alignment horizontal="center" vertical="center"/>
      <protection locked="0"/>
    </xf>
    <xf numFmtId="0" fontId="11" fillId="0" borderId="4" xfId="4" quotePrefix="1" applyBorder="1" applyAlignment="1">
      <alignment vertical="center"/>
    </xf>
    <xf numFmtId="0" fontId="6" fillId="0" borderId="0" xfId="0" applyFont="1" applyBorder="1" applyAlignment="1">
      <alignment vertical="center"/>
    </xf>
    <xf numFmtId="0" fontId="7" fillId="0" borderId="0" xfId="0" applyFont="1" applyBorder="1"/>
    <xf numFmtId="0" fontId="11" fillId="0" borderId="4" xfId="4" quotePrefix="1" applyBorder="1" applyAlignment="1">
      <alignment vertical="top"/>
    </xf>
    <xf numFmtId="0" fontId="7" fillId="0" borderId="5" xfId="0" applyFont="1" applyBorder="1"/>
    <xf numFmtId="0" fontId="7" fillId="0" borderId="5" xfId="0" applyFont="1" applyBorder="1" applyAlignment="1">
      <alignmen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0" borderId="4" xfId="0" quotePrefix="1" applyFont="1" applyBorder="1" applyAlignment="1">
      <alignment horizontal="justify" vertical="top" wrapText="1"/>
    </xf>
    <xf numFmtId="0" fontId="6" fillId="0" borderId="0" xfId="0" applyFont="1" applyBorder="1" applyAlignment="1">
      <alignment horizontal="justify" vertical="top" wrapText="1"/>
    </xf>
    <xf numFmtId="0" fontId="6" fillId="0" borderId="5" xfId="0" applyFont="1" applyBorder="1" applyAlignment="1">
      <alignment horizontal="justify" vertical="top" wrapText="1"/>
    </xf>
    <xf numFmtId="0" fontId="22" fillId="0" borderId="4" xfId="0" quotePrefix="1" applyFont="1" applyBorder="1" applyAlignment="1">
      <alignment horizontal="justify" vertical="top" wrapText="1"/>
    </xf>
    <xf numFmtId="0" fontId="22" fillId="0" borderId="0" xfId="0" applyFont="1" applyBorder="1" applyAlignment="1">
      <alignment horizontal="justify" vertical="top" wrapText="1"/>
    </xf>
    <xf numFmtId="0" fontId="22" fillId="0" borderId="5" xfId="0" applyFont="1" applyBorder="1" applyAlignment="1">
      <alignment horizontal="justify" vertical="top" wrapText="1"/>
    </xf>
    <xf numFmtId="0" fontId="6" fillId="0" borderId="0" xfId="0" quotePrefix="1" applyFont="1" applyBorder="1" applyAlignment="1">
      <alignment horizontal="justify" vertical="top" wrapText="1"/>
    </xf>
    <xf numFmtId="0" fontId="6" fillId="0" borderId="5" xfId="0" quotePrefix="1" applyFont="1" applyBorder="1" applyAlignment="1">
      <alignment horizontal="justify" vertical="top" wrapText="1"/>
    </xf>
    <xf numFmtId="0" fontId="17" fillId="0" borderId="4" xfId="0" quotePrefix="1" applyFont="1" applyBorder="1" applyAlignment="1">
      <alignment horizontal="left" vertical="top" wrapText="1"/>
    </xf>
    <xf numFmtId="0" fontId="17" fillId="0" borderId="0" xfId="0" quotePrefix="1" applyFont="1" applyBorder="1" applyAlignment="1">
      <alignment horizontal="left" vertical="top" wrapText="1"/>
    </xf>
    <xf numFmtId="0" fontId="17" fillId="0" borderId="5" xfId="0" quotePrefix="1" applyFont="1" applyBorder="1" applyAlignment="1">
      <alignment horizontal="left" vertical="top" wrapText="1"/>
    </xf>
    <xf numFmtId="0" fontId="6" fillId="0" borderId="6" xfId="0" applyFont="1" applyBorder="1" applyAlignment="1">
      <alignment horizontal="left" vertical="top" wrapText="1"/>
    </xf>
    <xf numFmtId="0" fontId="29" fillId="0" borderId="7" xfId="0" applyFont="1" applyBorder="1" applyAlignment="1">
      <alignment horizontal="left" vertical="top"/>
    </xf>
    <xf numFmtId="0" fontId="29" fillId="0" borderId="8" xfId="0" applyFont="1" applyBorder="1" applyAlignment="1">
      <alignment horizontal="left" vertical="top"/>
    </xf>
    <xf numFmtId="0" fontId="0" fillId="0" borderId="0" xfId="0" applyAlignment="1">
      <alignment horizontal="center" vertical="center" wrapText="1"/>
    </xf>
    <xf numFmtId="0" fontId="6" fillId="0" borderId="6" xfId="0" quotePrefix="1" applyFont="1" applyBorder="1" applyAlignment="1">
      <alignment horizontal="left" vertical="top" wrapText="1"/>
    </xf>
    <xf numFmtId="0" fontId="6" fillId="0" borderId="7" xfId="0" quotePrefix="1" applyFont="1" applyBorder="1" applyAlignment="1">
      <alignment horizontal="left" vertical="top" wrapText="1"/>
    </xf>
    <xf numFmtId="0" fontId="6" fillId="0" borderId="8" xfId="0" quotePrefix="1" applyFont="1" applyBorder="1" applyAlignment="1">
      <alignment horizontal="left" vertical="top" wrapText="1"/>
    </xf>
    <xf numFmtId="0" fontId="5" fillId="2" borderId="0" xfId="0" applyFont="1" applyFill="1" applyAlignment="1">
      <alignment horizontal="center" vertical="center" wrapText="1"/>
    </xf>
    <xf numFmtId="0" fontId="6" fillId="0" borderId="4" xfId="0" applyFont="1" applyBorder="1" applyAlignment="1">
      <alignment horizontal="justify" vertical="top" wrapText="1"/>
    </xf>
    <xf numFmtId="0" fontId="6" fillId="0" borderId="0" xfId="0" applyFont="1" applyAlignment="1">
      <alignment horizontal="justify" vertical="top" wrapText="1"/>
    </xf>
    <xf numFmtId="0" fontId="6" fillId="0" borderId="6" xfId="0" applyFont="1" applyBorder="1" applyAlignment="1">
      <alignment horizontal="justify" vertical="top" wrapText="1"/>
    </xf>
    <xf numFmtId="0" fontId="6" fillId="0" borderId="7" xfId="0" applyFont="1" applyBorder="1" applyAlignment="1">
      <alignment horizontal="justify" vertical="top" wrapText="1"/>
    </xf>
    <xf numFmtId="0" fontId="6" fillId="0" borderId="8" xfId="0" applyFont="1" applyBorder="1" applyAlignment="1">
      <alignment horizontal="justify" vertical="top"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6" fillId="0" borderId="4" xfId="0" applyFont="1" applyBorder="1" applyAlignment="1">
      <alignment horizontal="left" vertical="top"/>
    </xf>
    <xf numFmtId="0" fontId="29" fillId="0" borderId="0" xfId="0" applyFont="1" applyBorder="1" applyAlignment="1">
      <alignment horizontal="left" vertical="top"/>
    </xf>
    <xf numFmtId="0" fontId="29" fillId="0" borderId="5" xfId="0" applyFont="1" applyBorder="1" applyAlignment="1">
      <alignment horizontal="left" vertical="top"/>
    </xf>
    <xf numFmtId="0" fontId="65" fillId="0" borderId="4" xfId="0" applyFont="1" applyBorder="1" applyAlignment="1">
      <alignment horizontal="left" vertical="top"/>
    </xf>
    <xf numFmtId="0" fontId="65" fillId="0" borderId="0" xfId="0" applyFont="1" applyBorder="1" applyAlignment="1">
      <alignment horizontal="left" vertical="top"/>
    </xf>
    <xf numFmtId="0" fontId="65" fillId="0" borderId="5" xfId="0" applyFont="1" applyBorder="1" applyAlignment="1">
      <alignment horizontal="left" vertical="top"/>
    </xf>
    <xf numFmtId="0" fontId="22" fillId="0" borderId="4" xfId="0" quotePrefix="1" applyFont="1" applyBorder="1" applyAlignment="1">
      <alignment vertical="top" wrapText="1"/>
    </xf>
    <xf numFmtId="0" fontId="65" fillId="0" borderId="0" xfId="0" quotePrefix="1" applyFont="1" applyBorder="1" applyAlignment="1">
      <alignment vertical="top" wrapText="1"/>
    </xf>
    <xf numFmtId="0" fontId="65" fillId="0" borderId="5" xfId="0" quotePrefix="1" applyFont="1" applyBorder="1" applyAlignment="1">
      <alignment vertical="top" wrapText="1"/>
    </xf>
    <xf numFmtId="0" fontId="65" fillId="0" borderId="4" xfId="0" quotePrefix="1" applyFont="1" applyBorder="1" applyAlignment="1">
      <alignment vertical="top" wrapText="1"/>
    </xf>
    <xf numFmtId="0" fontId="65" fillId="0" borderId="6" xfId="0" quotePrefix="1" applyFont="1" applyBorder="1" applyAlignment="1">
      <alignment vertical="top" wrapText="1"/>
    </xf>
    <xf numFmtId="0" fontId="65" fillId="0" borderId="7" xfId="0" quotePrefix="1" applyFont="1" applyBorder="1" applyAlignment="1">
      <alignment vertical="top" wrapText="1"/>
    </xf>
    <xf numFmtId="0" fontId="65" fillId="0" borderId="8" xfId="0" quotePrefix="1" applyFont="1" applyBorder="1" applyAlignment="1">
      <alignmen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22" fillId="0" borderId="4" xfId="0" quotePrefix="1" applyFont="1" applyBorder="1" applyAlignment="1">
      <alignment horizontal="left" vertical="top" wrapText="1"/>
    </xf>
    <xf numFmtId="0" fontId="22" fillId="0" borderId="0" xfId="0" quotePrefix="1" applyFont="1" applyBorder="1" applyAlignment="1">
      <alignment horizontal="left" vertical="top" wrapText="1"/>
    </xf>
    <xf numFmtId="0" fontId="22" fillId="0" borderId="5" xfId="0" quotePrefix="1" applyFont="1" applyBorder="1" applyAlignment="1">
      <alignment horizontal="left" vertical="top" wrapText="1"/>
    </xf>
    <xf numFmtId="0" fontId="22" fillId="0" borderId="4" xfId="0" applyFont="1" applyBorder="1" applyAlignment="1">
      <alignment horizontal="justify" vertical="top" wrapText="1"/>
    </xf>
    <xf numFmtId="0" fontId="22" fillId="0" borderId="0" xfId="0" applyFont="1" applyAlignment="1">
      <alignment horizontal="justify" vertical="top" wrapText="1"/>
    </xf>
    <xf numFmtId="0" fontId="15" fillId="5" borderId="32"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44" fillId="8" borderId="20" xfId="0" applyFont="1" applyFill="1" applyBorder="1" applyAlignment="1" applyProtection="1">
      <alignment horizontal="center" vertical="center"/>
      <protection locked="0"/>
    </xf>
    <xf numFmtId="0" fontId="44" fillId="8" borderId="21" xfId="0" applyFont="1" applyFill="1"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33" fillId="12" borderId="10" xfId="0" applyFont="1" applyFill="1" applyBorder="1" applyAlignment="1" applyProtection="1">
      <alignment horizontal="center" vertical="center" wrapText="1"/>
      <protection locked="0"/>
    </xf>
    <xf numFmtId="0" fontId="33" fillId="12" borderId="11" xfId="0" applyFont="1" applyFill="1" applyBorder="1" applyAlignment="1" applyProtection="1">
      <alignment horizontal="center" vertical="center" wrapText="1"/>
      <protection locked="0"/>
    </xf>
    <xf numFmtId="0" fontId="33" fillId="15" borderId="10" xfId="0" applyFont="1" applyFill="1" applyBorder="1" applyAlignment="1" applyProtection="1">
      <alignment horizontal="center" vertical="center" wrapText="1"/>
      <protection locked="0"/>
    </xf>
    <xf numFmtId="0" fontId="33" fillId="15" borderId="11" xfId="0" applyFont="1" applyFill="1" applyBorder="1" applyAlignment="1" applyProtection="1">
      <alignment horizontal="center" vertical="center" wrapText="1"/>
      <protection locked="0"/>
    </xf>
    <xf numFmtId="0" fontId="34" fillId="5" borderId="12" xfId="0" applyFont="1" applyFill="1" applyBorder="1" applyAlignment="1" applyProtection="1">
      <alignment horizontal="center" vertical="center" wrapText="1"/>
      <protection locked="0"/>
    </xf>
    <xf numFmtId="0" fontId="34" fillId="5" borderId="13" xfId="0" applyFont="1" applyFill="1" applyBorder="1" applyAlignment="1" applyProtection="1">
      <alignment horizontal="center" vertical="center" wrapText="1"/>
      <protection locked="0"/>
    </xf>
    <xf numFmtId="0" fontId="34" fillId="5" borderId="14" xfId="0" applyFont="1" applyFill="1" applyBorder="1" applyAlignment="1" applyProtection="1">
      <alignment horizontal="center" vertical="center" wrapText="1"/>
      <protection locked="0"/>
    </xf>
    <xf numFmtId="0" fontId="34" fillId="5" borderId="15" xfId="0" applyFont="1" applyFill="1" applyBorder="1" applyAlignment="1" applyProtection="1">
      <alignment horizontal="center" vertical="center" wrapText="1"/>
      <protection locked="0"/>
    </xf>
    <xf numFmtId="0" fontId="34" fillId="5" borderId="0" xfId="0" applyFont="1" applyFill="1" applyAlignment="1" applyProtection="1">
      <alignment horizontal="center" vertical="center" wrapText="1"/>
      <protection locked="0"/>
    </xf>
    <xf numFmtId="0" fontId="34" fillId="5" borderId="16" xfId="0" applyFont="1" applyFill="1" applyBorder="1" applyAlignment="1" applyProtection="1">
      <alignment horizontal="center" vertical="center" wrapText="1"/>
      <protection locked="0"/>
    </xf>
    <xf numFmtId="0" fontId="34" fillId="5" borderId="17" xfId="0" applyFont="1" applyFill="1" applyBorder="1" applyAlignment="1" applyProtection="1">
      <alignment horizontal="center" vertical="center" wrapText="1"/>
      <protection locked="0"/>
    </xf>
    <xf numFmtId="0" fontId="34" fillId="5" borderId="18" xfId="0" applyFont="1" applyFill="1" applyBorder="1" applyAlignment="1" applyProtection="1">
      <alignment horizontal="center" vertical="center" wrapText="1"/>
      <protection locked="0"/>
    </xf>
    <xf numFmtId="0" fontId="34" fillId="5" borderId="19" xfId="0" applyFont="1" applyFill="1" applyBorder="1" applyAlignment="1" applyProtection="1">
      <alignment horizontal="center" vertical="center" wrapText="1"/>
      <protection locked="0"/>
    </xf>
    <xf numFmtId="0" fontId="34" fillId="13" borderId="20" xfId="0" applyFont="1" applyFill="1" applyBorder="1" applyAlignment="1" applyProtection="1">
      <alignment horizontal="center" vertical="center" wrapText="1"/>
      <protection locked="0"/>
    </xf>
    <xf numFmtId="0" fontId="34" fillId="13" borderId="21" xfId="0" applyFont="1" applyFill="1" applyBorder="1" applyAlignment="1" applyProtection="1">
      <alignment horizontal="center" vertical="center" wrapText="1"/>
      <protection locked="0"/>
    </xf>
    <xf numFmtId="0" fontId="34" fillId="13" borderId="22" xfId="0" applyFont="1" applyFill="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21"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8" fillId="0" borderId="20"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38" fillId="0" borderId="22" xfId="0" applyFont="1" applyBorder="1" applyAlignment="1" applyProtection="1">
      <alignment horizontal="center" vertical="center"/>
      <protection locked="0"/>
    </xf>
    <xf numFmtId="165" fontId="36" fillId="0" borderId="20" xfId="2" applyNumberFormat="1" applyFont="1" applyBorder="1" applyAlignment="1" applyProtection="1">
      <alignment horizontal="center" vertical="center"/>
      <protection locked="0"/>
    </xf>
    <xf numFmtId="165" fontId="36" fillId="0" borderId="21" xfId="2" applyNumberFormat="1" applyFont="1" applyBorder="1" applyAlignment="1" applyProtection="1">
      <alignment horizontal="center" vertical="center"/>
      <protection locked="0"/>
    </xf>
    <xf numFmtId="165" fontId="36" fillId="0" borderId="22" xfId="2" applyNumberFormat="1" applyFont="1" applyBorder="1" applyAlignment="1" applyProtection="1">
      <alignment horizontal="center" vertical="center"/>
      <protection locked="0"/>
    </xf>
    <xf numFmtId="0" fontId="40" fillId="0" borderId="0" xfId="0" applyFont="1" applyAlignment="1" applyProtection="1">
      <alignment horizontal="right" vertical="center"/>
      <protection locked="0"/>
    </xf>
    <xf numFmtId="3" fontId="41" fillId="0" borderId="20" xfId="0" applyNumberFormat="1" applyFont="1" applyBorder="1" applyAlignment="1" applyProtection="1">
      <alignment horizontal="center" vertical="center"/>
      <protection locked="0"/>
    </xf>
    <xf numFmtId="3" fontId="41" fillId="0" borderId="21" xfId="0" applyNumberFormat="1" applyFont="1" applyBorder="1" applyAlignment="1" applyProtection="1">
      <alignment horizontal="center" vertical="center"/>
      <protection locked="0"/>
    </xf>
    <xf numFmtId="3" fontId="41" fillId="0" borderId="22" xfId="0" applyNumberFormat="1" applyFont="1" applyBorder="1" applyAlignment="1" applyProtection="1">
      <alignment horizontal="center" vertical="center"/>
      <protection locked="0"/>
    </xf>
    <xf numFmtId="3" fontId="41" fillId="0" borderId="20" xfId="0" applyNumberFormat="1" applyFont="1" applyBorder="1" applyAlignment="1" applyProtection="1">
      <alignment horizontal="center" vertical="center" wrapText="1"/>
      <protection locked="0"/>
    </xf>
    <xf numFmtId="3" fontId="41" fillId="0" borderId="21" xfId="0" applyNumberFormat="1" applyFont="1" applyBorder="1" applyAlignment="1" applyProtection="1">
      <alignment horizontal="center" vertical="center" wrapText="1"/>
      <protection locked="0"/>
    </xf>
    <xf numFmtId="3" fontId="41" fillId="0" borderId="22" xfId="0" applyNumberFormat="1" applyFont="1" applyBorder="1" applyAlignment="1" applyProtection="1">
      <alignment horizontal="center" vertical="center" wrapText="1"/>
      <protection locked="0"/>
    </xf>
    <xf numFmtId="0" fontId="42" fillId="0" borderId="0" xfId="0" applyFont="1" applyAlignment="1" applyProtection="1">
      <alignment horizontal="left" vertical="center"/>
    </xf>
    <xf numFmtId="0" fontId="36" fillId="0" borderId="26" xfId="0" applyFont="1" applyBorder="1" applyAlignment="1" applyProtection="1">
      <alignment horizontal="center" vertical="center" textRotation="90"/>
      <protection locked="0"/>
    </xf>
    <xf numFmtId="0" fontId="36" fillId="0" borderId="29" xfId="0" applyFont="1" applyBorder="1" applyAlignment="1" applyProtection="1">
      <alignment horizontal="center" vertical="center" textRotation="90"/>
      <protection locked="0"/>
    </xf>
    <xf numFmtId="0" fontId="36" fillId="0" borderId="31" xfId="0" applyFont="1" applyBorder="1" applyAlignment="1" applyProtection="1">
      <alignment horizontal="center" vertical="center" textRotation="90"/>
      <protection locked="0"/>
    </xf>
    <xf numFmtId="0" fontId="43" fillId="0" borderId="11" xfId="0" applyFont="1" applyBorder="1" applyAlignment="1" applyProtection="1">
      <alignment horizontal="center" vertical="center"/>
    </xf>
    <xf numFmtId="0" fontId="45" fillId="0" borderId="21" xfId="0" applyFont="1" applyBorder="1" applyAlignment="1" applyProtection="1">
      <alignment horizontal="center" vertical="center"/>
      <protection locked="0"/>
    </xf>
  </cellXfs>
  <cellStyles count="6">
    <cellStyle name="Lien hypertexte" xfId="4" builtinId="8"/>
    <cellStyle name="Milliers" xfId="1" builtinId="3"/>
    <cellStyle name="Monétaire" xfId="2" builtinId="4"/>
    <cellStyle name="Normal" xfId="0" builtinId="0"/>
    <cellStyle name="Normal 2" xfId="5" xr:uid="{00000000-0005-0000-0000-000004000000}"/>
    <cellStyle name="Pourcentage" xfId="3" builtinId="5"/>
  </cellStyles>
  <dxfs count="92">
    <dxf>
      <font>
        <color rgb="FFFF0000"/>
      </font>
      <border>
        <left style="thin">
          <color rgb="FFFF0000"/>
        </left>
        <right style="thin">
          <color rgb="FFFF0000"/>
        </right>
        <top style="thin">
          <color rgb="FFFF0000"/>
        </top>
        <bottom style="thin">
          <color rgb="FFFF0000"/>
        </bottom>
        <vertical/>
        <horizontal/>
      </border>
    </dxf>
    <dxf>
      <fill>
        <patternFill>
          <bgColor theme="9" tint="0.59996337778862885"/>
        </patternFill>
      </fill>
    </dxf>
    <dxf>
      <fill>
        <patternFill>
          <bgColor theme="9" tint="0.59996337778862885"/>
        </patternFill>
      </fill>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theme="0"/>
      </font>
    </dxf>
    <dxf>
      <font>
        <color theme="0"/>
      </font>
    </dxf>
    <dxf>
      <font>
        <color theme="0"/>
      </font>
    </dxf>
    <dxf>
      <font>
        <color theme="0"/>
      </font>
    </dxf>
    <dxf>
      <font>
        <color rgb="FFFF8205"/>
      </font>
    </dxf>
    <dxf>
      <font>
        <color theme="9" tint="-0.24994659260841701"/>
      </font>
    </dxf>
    <dxf>
      <font>
        <color rgb="FFFF8205"/>
      </font>
    </dxf>
    <dxf>
      <font>
        <color theme="9" tint="-0.24994659260841701"/>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ill>
        <patternFill>
          <bgColor theme="9" tint="0.59996337778862885"/>
        </patternFill>
      </fill>
    </dxf>
    <dxf>
      <fill>
        <patternFill>
          <bgColor theme="9" tint="0.59996337778862885"/>
        </patternFill>
      </fill>
    </dxf>
    <dxf>
      <font>
        <color rgb="FFFF8205"/>
      </font>
    </dxf>
    <dxf>
      <font>
        <color theme="9" tint="-0.24994659260841701"/>
      </font>
    </dxf>
    <dxf>
      <font>
        <color rgb="FFFF8205"/>
      </font>
    </dxf>
    <dxf>
      <font>
        <color theme="9" tint="-0.24994659260841701"/>
      </font>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8205"/>
      </font>
    </dxf>
    <dxf>
      <font>
        <color theme="9" tint="-0.24994659260841701"/>
      </font>
    </dxf>
    <dxf>
      <font>
        <color theme="0"/>
      </font>
      <fill>
        <patternFill patternType="none">
          <bgColor auto="1"/>
        </patternFill>
      </fill>
      <border>
        <left/>
        <right/>
        <top/>
        <bottom/>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rgb="FFFF0000"/>
      </font>
      <border>
        <left style="thin">
          <color rgb="FFFF0000"/>
        </left>
        <right style="thin">
          <color rgb="FFFF0000"/>
        </right>
        <top style="thin">
          <color rgb="FFFF0000"/>
        </top>
        <bottom style="thin">
          <color rgb="FFFF0000"/>
        </bottom>
        <vertical/>
        <horizontal/>
      </border>
    </dxf>
    <dxf>
      <font>
        <color rgb="FFFF000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2842100473653734E-2"/>
          <c:y val="0.26143818397863233"/>
          <c:w val="0.50190253451636946"/>
          <c:h val="0.67510719057346524"/>
        </c:manualLayout>
      </c:layout>
      <c:pieChart>
        <c:varyColors val="1"/>
        <c:ser>
          <c:idx val="0"/>
          <c:order val="0"/>
          <c:explosion val="10"/>
          <c:dLbls>
            <c:spPr>
              <a:noFill/>
              <a:ln>
                <a:noFill/>
              </a:ln>
              <a:effectLst/>
            </c:spPr>
            <c:txPr>
              <a:bodyPr rot="0" wrap="square" lIns="38100" tIns="19050" rIns="38100" bIns="19050" anchor="ctr">
                <a:spAutoFit/>
              </a:bodyPr>
              <a:lstStyle/>
              <a:p>
                <a:pPr>
                  <a:defRPr b="1" i="0" baseline="0">
                    <a:ln w="3175">
                      <a:noFill/>
                    </a:ln>
                    <a:solidFill>
                      <a:schemeClr val="tx1">
                        <a:alpha val="98000"/>
                      </a:schemeClr>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('Maquette LM'!$C$19,'Maquette LM'!$C$25:$C$27)</c:f>
              <c:strCache>
                <c:ptCount val="4"/>
                <c:pt idx="0">
                  <c:v>Titres 1 : Charges de personnel</c:v>
                </c:pt>
                <c:pt idx="1">
                  <c:v>Titre 2 : Charges à caractére médical</c:v>
                </c:pt>
                <c:pt idx="2">
                  <c:v>Titre 3 : Charges à caractére hôtelier et général</c:v>
                </c:pt>
                <c:pt idx="3">
                  <c:v>Titre 4 : Charges à caractére financier</c:v>
                </c:pt>
              </c:strCache>
            </c:strRef>
          </c:cat>
          <c:val>
            <c:numRef>
              <c:f>('Maquette LM'!$I$19,'Maquette LM'!$I$25:$I$27)</c:f>
              <c:numCache>
                <c:formatCode>0%</c:formatCode>
                <c:ptCount val="4"/>
                <c:pt idx="0">
                  <c:v>0.79146859090829702</c:v>
                </c:pt>
                <c:pt idx="1">
                  <c:v>0.15830114473253143</c:v>
                </c:pt>
                <c:pt idx="2">
                  <c:v>4.0172813383034206E-4</c:v>
                </c:pt>
                <c:pt idx="3">
                  <c:v>4.9828536225341204E-2</c:v>
                </c:pt>
              </c:numCache>
            </c:numRef>
          </c:val>
          <c:extLst>
            <c:ext xmlns:c16="http://schemas.microsoft.com/office/drawing/2014/chart" uri="{C3380CC4-5D6E-409C-BE32-E72D297353CC}">
              <c16:uniqueId val="{00000000-7507-411E-96B4-7A76E92E3BB3}"/>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700" b="1" i="0" baseline="0"/>
          </a:pPr>
          <a:endParaRPr lang="fr-FR"/>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hyperlink" Target="#'SAISIE DES DONNEES LM'!A1"/><Relationship Id="rId1" Type="http://schemas.openxmlformats.org/officeDocument/2006/relationships/hyperlink" Target="#'Maquette LM'!A1"/></Relationships>
</file>

<file path=xl/drawings/_rels/drawing2.xml.rels><?xml version="1.0" encoding="UTF-8" standalone="yes"?>
<Relationships xmlns="http://schemas.openxmlformats.org/package/2006/relationships"><Relationship Id="rId2" Type="http://schemas.openxmlformats.org/officeDocument/2006/relationships/hyperlink" Target="#'Maquette LM'!A1"/><Relationship Id="rId1" Type="http://schemas.openxmlformats.org/officeDocument/2006/relationships/hyperlink" Target="#'Fiche de contenu d&#233;taill&#233;e'!C12"/></Relationships>
</file>

<file path=xl/drawings/_rels/drawing3.xml.rels><?xml version="1.0" encoding="UTF-8" standalone="yes"?>
<Relationships xmlns="http://schemas.openxmlformats.org/package/2006/relationships"><Relationship Id="rId2" Type="http://schemas.openxmlformats.org/officeDocument/2006/relationships/hyperlink" Target="#'Fiche de contenu d&#233;taill&#233;e'!C12"/><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765810</xdr:colOff>
      <xdr:row>68</xdr:row>
      <xdr:rowOff>78423</xdr:rowOff>
    </xdr:from>
    <xdr:to>
      <xdr:col>10</xdr:col>
      <xdr:colOff>712470</xdr:colOff>
      <xdr:row>70</xdr:row>
      <xdr:rowOff>10795</xdr:rowOff>
    </xdr:to>
    <xdr:sp macro="" textlink="">
      <xdr:nvSpPr>
        <xdr:cNvPr id="41" name="Rectangle : coins arrondis 40">
          <a:hlinkClick xmlns:r="http://schemas.openxmlformats.org/officeDocument/2006/relationships" r:id="rId1"/>
          <a:extLst>
            <a:ext uri="{FF2B5EF4-FFF2-40B4-BE49-F238E27FC236}">
              <a16:creationId xmlns:a16="http://schemas.microsoft.com/office/drawing/2014/main" id="{AD076512-44FD-4C40-89CD-68BDA9805065}"/>
            </a:ext>
          </a:extLst>
        </xdr:cNvPr>
        <xdr:cNvSpPr/>
      </xdr:nvSpPr>
      <xdr:spPr>
        <a:xfrm>
          <a:off x="6395085" y="17385348"/>
          <a:ext cx="2375535" cy="256222"/>
        </a:xfrm>
        <a:prstGeom prst="roundRect">
          <a:avLst/>
        </a:prstGeom>
        <a:solidFill>
          <a:srgbClr val="00B0F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900" b="1">
              <a:solidFill>
                <a:schemeClr val="bg1"/>
              </a:solidFill>
              <a:latin typeface="Verdana" panose="020B0604030504040204" pitchFamily="34" charset="0"/>
              <a:ea typeface="Verdana" panose="020B0604030504040204" pitchFamily="34" charset="0"/>
            </a:rPr>
            <a:t>Maquette pour vos résultats (LM)</a:t>
          </a:r>
        </a:p>
      </xdr:txBody>
    </xdr:sp>
    <xdr:clientData/>
  </xdr:twoCellAnchor>
  <xdr:twoCellAnchor>
    <xdr:from>
      <xdr:col>7</xdr:col>
      <xdr:colOff>114300</xdr:colOff>
      <xdr:row>62</xdr:row>
      <xdr:rowOff>287021</xdr:rowOff>
    </xdr:from>
    <xdr:to>
      <xdr:col>10</xdr:col>
      <xdr:colOff>743586</xdr:colOff>
      <xdr:row>63</xdr:row>
      <xdr:rowOff>266700</xdr:rowOff>
    </xdr:to>
    <xdr:sp macro="" textlink="">
      <xdr:nvSpPr>
        <xdr:cNvPr id="43" name="ZoneTexte 42">
          <a:hlinkClick xmlns:r="http://schemas.openxmlformats.org/officeDocument/2006/relationships" r:id="rId2"/>
          <a:extLst>
            <a:ext uri="{FF2B5EF4-FFF2-40B4-BE49-F238E27FC236}">
              <a16:creationId xmlns:a16="http://schemas.microsoft.com/office/drawing/2014/main" id="{FDA069D6-FA0D-486E-A5B7-04F8EDA72C06}"/>
            </a:ext>
          </a:extLst>
        </xdr:cNvPr>
        <xdr:cNvSpPr txBox="1"/>
      </xdr:nvSpPr>
      <xdr:spPr>
        <a:xfrm>
          <a:off x="5743575" y="15488921"/>
          <a:ext cx="3058161" cy="313054"/>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ctr"/>
        <a:lstStyle/>
        <a:p>
          <a:pPr algn="ctr"/>
          <a:r>
            <a:rPr lang="fr-FR" sz="900" b="1">
              <a:latin typeface="Verdana" panose="020B0604030504040204" pitchFamily="34" charset="0"/>
              <a:ea typeface="Verdana" panose="020B0604030504040204" pitchFamily="34" charset="0"/>
            </a:rPr>
            <a:t>Grille pour la saisie de vos données de LM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33868</xdr:colOff>
      <xdr:row>0</xdr:row>
      <xdr:rowOff>59267</xdr:rowOff>
    </xdr:from>
    <xdr:to>
      <xdr:col>0</xdr:col>
      <xdr:colOff>1202267</xdr:colOff>
      <xdr:row>2</xdr:row>
      <xdr:rowOff>42333</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3868" y="59267"/>
          <a:ext cx="1168399" cy="287866"/>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t>
          </a:r>
          <a:r>
            <a:rPr lang="fr-FR" sz="1200" b="1" baseline="0"/>
            <a:t>accueil</a:t>
          </a:r>
          <a:endParaRPr lang="fr-FR" sz="1400" b="1"/>
        </a:p>
      </xdr:txBody>
    </xdr:sp>
    <xdr:clientData/>
  </xdr:twoCellAnchor>
  <xdr:twoCellAnchor>
    <xdr:from>
      <xdr:col>2</xdr:col>
      <xdr:colOff>13970</xdr:colOff>
      <xdr:row>0</xdr:row>
      <xdr:rowOff>0</xdr:rowOff>
    </xdr:from>
    <xdr:to>
      <xdr:col>2</xdr:col>
      <xdr:colOff>3718559</xdr:colOff>
      <xdr:row>3</xdr:row>
      <xdr:rowOff>125730</xdr:rowOff>
    </xdr:to>
    <xdr:sp macro="" textlink="">
      <xdr:nvSpPr>
        <xdr:cNvPr id="3" name="ZoneTexte 2">
          <a:extLst>
            <a:ext uri="{FF2B5EF4-FFF2-40B4-BE49-F238E27FC236}">
              <a16:creationId xmlns:a16="http://schemas.microsoft.com/office/drawing/2014/main" id="{00000000-0008-0000-0200-000003000000}"/>
            </a:ext>
          </a:extLst>
        </xdr:cNvPr>
        <xdr:cNvSpPr txBox="1"/>
      </xdr:nvSpPr>
      <xdr:spPr>
        <a:xfrm>
          <a:off x="2962910" y="0"/>
          <a:ext cx="3704589" cy="56388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i="1"/>
            <a:t>Ceci</a:t>
          </a:r>
          <a:r>
            <a:rPr lang="fr-FR" sz="1000" i="1" baseline="0"/>
            <a:t> est un exemple renseigné et représente votre onglet de saisie. Les cellules grisées sont à renseigner.</a:t>
          </a:r>
        </a:p>
        <a:p>
          <a:pPr marL="0" marR="0" lvl="0" indent="0" defTabSz="914400" eaLnBrk="1" fontAlgn="auto" latinLnBrk="0" hangingPunct="1">
            <a:lnSpc>
              <a:spcPct val="100000"/>
            </a:lnSpc>
            <a:spcBef>
              <a:spcPts val="0"/>
            </a:spcBef>
            <a:spcAft>
              <a:spcPts val="0"/>
            </a:spcAft>
            <a:buClrTx/>
            <a:buSzTx/>
            <a:buFontTx/>
            <a:buNone/>
            <a:tabLst/>
            <a:defRPr/>
          </a:pPr>
          <a:r>
            <a:rPr lang="fr-FR" sz="1000" i="1" baseline="0">
              <a:solidFill>
                <a:schemeClr val="dk1"/>
              </a:solidFill>
              <a:effectLst/>
              <a:latin typeface="+mn-lt"/>
              <a:ea typeface="+mn-ea"/>
              <a:cs typeface="+mn-cs"/>
            </a:rPr>
            <a:t>La saisie N-1 s'effectue plus bas.</a:t>
          </a:r>
          <a:endParaRPr lang="fr-FR" sz="1000">
            <a:effectLst/>
          </a:endParaRPr>
        </a:p>
        <a:p>
          <a:endParaRPr lang="fr-FR" sz="1100" i="1" baseline="0"/>
        </a:p>
      </xdr:txBody>
    </xdr:sp>
    <xdr:clientData/>
  </xdr:twoCellAnchor>
  <xdr:twoCellAnchor>
    <xdr:from>
      <xdr:col>0</xdr:col>
      <xdr:colOff>1295401</xdr:colOff>
      <xdr:row>0</xdr:row>
      <xdr:rowOff>38100</xdr:rowOff>
    </xdr:from>
    <xdr:to>
      <xdr:col>1</xdr:col>
      <xdr:colOff>45720</xdr:colOff>
      <xdr:row>3</xdr:row>
      <xdr:rowOff>152400</xdr:rowOff>
    </xdr:to>
    <xdr:sp macro="" textlink="">
      <xdr:nvSpPr>
        <xdr:cNvPr id="4" name="ZoneTexte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295401" y="38100"/>
          <a:ext cx="1550669" cy="56197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pPr algn="ctr"/>
          <a:r>
            <a:rPr lang="fr-FR" sz="1200"/>
            <a:t>Vos résultats (</a:t>
          </a:r>
          <a:r>
            <a:rPr lang="fr-FR" sz="1200" b="1" i="1"/>
            <a:t>maquette</a:t>
          </a:r>
          <a:r>
            <a:rPr lang="fr-FR" sz="1200"/>
            <a:t>)</a:t>
          </a:r>
        </a:p>
      </xdr:txBody>
    </xdr:sp>
    <xdr:clientData/>
  </xdr:twoCellAnchor>
  <xdr:twoCellAnchor>
    <xdr:from>
      <xdr:col>0</xdr:col>
      <xdr:colOff>28153</xdr:colOff>
      <xdr:row>0</xdr:row>
      <xdr:rowOff>26670</xdr:rowOff>
    </xdr:from>
    <xdr:to>
      <xdr:col>0</xdr:col>
      <xdr:colOff>1198457</xdr:colOff>
      <xdr:row>3</xdr:row>
      <xdr:rowOff>152400</xdr:rowOff>
    </xdr:to>
    <xdr:sp macro="" textlink="">
      <xdr:nvSpPr>
        <xdr:cNvPr id="5" name="ZoneTexte 4">
          <a:hlinkClick xmlns:r="http://schemas.openxmlformats.org/officeDocument/2006/relationships" r:id="rId1"/>
          <a:extLst>
            <a:ext uri="{FF2B5EF4-FFF2-40B4-BE49-F238E27FC236}">
              <a16:creationId xmlns:a16="http://schemas.microsoft.com/office/drawing/2014/main" id="{A728DC8B-67D7-4148-BB8F-926C4E893522}"/>
            </a:ext>
          </a:extLst>
        </xdr:cNvPr>
        <xdr:cNvSpPr txBox="1"/>
      </xdr:nvSpPr>
      <xdr:spPr>
        <a:xfrm>
          <a:off x="28153" y="26670"/>
          <a:ext cx="1170304" cy="57340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t>
          </a:r>
          <a:r>
            <a:rPr lang="fr-FR" sz="1400" b="1">
              <a:solidFill>
                <a:schemeClr val="lt1"/>
              </a:solidFill>
              <a:latin typeface="+mn-lt"/>
              <a:ea typeface="+mn-ea"/>
              <a:cs typeface="+mn-cs"/>
            </a:rPr>
            <a:t>accueil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88902</xdr:colOff>
      <xdr:row>15</xdr:row>
      <xdr:rowOff>300037</xdr:rowOff>
    </xdr:from>
    <xdr:to>
      <xdr:col>27</xdr:col>
      <xdr:colOff>338138</xdr:colOff>
      <xdr:row>36</xdr:row>
      <xdr:rowOff>6349</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0</xdr:row>
      <xdr:rowOff>123825</xdr:rowOff>
    </xdr:from>
    <xdr:to>
      <xdr:col>2</xdr:col>
      <xdr:colOff>1210236</xdr:colOff>
      <xdr:row>1</xdr:row>
      <xdr:rowOff>209550</xdr:rowOff>
    </xdr:to>
    <xdr:sp macro="" textlink="">
      <xdr:nvSpPr>
        <xdr:cNvPr id="3" name="ZoneTexte 2">
          <a:hlinkClick xmlns:r="http://schemas.openxmlformats.org/officeDocument/2006/relationships" r:id="rId2"/>
          <a:extLst>
            <a:ext uri="{FF2B5EF4-FFF2-40B4-BE49-F238E27FC236}">
              <a16:creationId xmlns:a16="http://schemas.microsoft.com/office/drawing/2014/main" id="{00000000-0008-0000-0300-000003000000}"/>
            </a:ext>
          </a:extLst>
        </xdr:cNvPr>
        <xdr:cNvSpPr txBox="1"/>
      </xdr:nvSpPr>
      <xdr:spPr>
        <a:xfrm>
          <a:off x="57150" y="123825"/>
          <a:ext cx="1343586" cy="46672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ctr"/>
        <a:lstStyle/>
        <a:p>
          <a:pPr algn="ctr"/>
          <a:r>
            <a:rPr lang="fr-FR" sz="1400" b="1"/>
            <a:t>Retour</a:t>
          </a:r>
          <a:r>
            <a:rPr lang="fr-FR" sz="1400" b="1" baseline="0"/>
            <a:t> accueil</a:t>
          </a:r>
          <a:endParaRPr lang="fr-FR" sz="1400" b="1"/>
        </a:p>
      </xdr:txBody>
    </xdr:sp>
    <xdr:clientData/>
  </xdr:twoCellAnchor>
  <xdr:twoCellAnchor>
    <xdr:from>
      <xdr:col>2</xdr:col>
      <xdr:colOff>1409700</xdr:colOff>
      <xdr:row>0</xdr:row>
      <xdr:rowOff>133351</xdr:rowOff>
    </xdr:from>
    <xdr:to>
      <xdr:col>3</xdr:col>
      <xdr:colOff>1419225</xdr:colOff>
      <xdr:row>1</xdr:row>
      <xdr:rowOff>228601</xdr:rowOff>
    </xdr:to>
    <xdr:sp macro="" textlink="">
      <xdr:nvSpPr>
        <xdr:cNvPr id="4" name="ZoneTexte 3">
          <a:extLst>
            <a:ext uri="{FF2B5EF4-FFF2-40B4-BE49-F238E27FC236}">
              <a16:creationId xmlns:a16="http://schemas.microsoft.com/office/drawing/2014/main" id="{00000000-0008-0000-0300-000004000000}"/>
            </a:ext>
          </a:extLst>
        </xdr:cNvPr>
        <xdr:cNvSpPr txBox="1"/>
      </xdr:nvSpPr>
      <xdr:spPr>
        <a:xfrm>
          <a:off x="1600200" y="133351"/>
          <a:ext cx="2352675" cy="4762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Vos données</a:t>
          </a:r>
          <a:r>
            <a:rPr lang="fr-FR" sz="1100" i="1" baseline="0"/>
            <a:t> sont à renseigner dans l'onglet "SAISIE DES DONNEES LM"</a:t>
          </a:r>
        </a:p>
      </xdr:txBody>
    </xdr:sp>
    <xdr:clientData/>
  </xdr:twoCellAnchor>
  <xdr:twoCellAnchor>
    <xdr:from>
      <xdr:col>3</xdr:col>
      <xdr:colOff>276225</xdr:colOff>
      <xdr:row>8</xdr:row>
      <xdr:rowOff>742950</xdr:rowOff>
    </xdr:from>
    <xdr:to>
      <xdr:col>3</xdr:col>
      <xdr:colOff>2057400</xdr:colOff>
      <xdr:row>8</xdr:row>
      <xdr:rowOff>923926</xdr:rowOff>
    </xdr:to>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2809875" y="2638425"/>
          <a:ext cx="1619250" cy="1809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000" i="1"/>
            <a:t>Ceci est un menu déroulant </a:t>
          </a:r>
          <a:r>
            <a:rPr lang="fr-FR" sz="1000" i="1">
              <a:sym typeface="Webdings" panose="05030102010509060703" pitchFamily="18" charset="2"/>
            </a:rPr>
            <a:t></a:t>
          </a:r>
          <a:endParaRPr lang="fr-FR" sz="1000" i="1"/>
        </a:p>
      </xdr:txBody>
    </xdr:sp>
    <xdr:clientData/>
  </xdr:twoCellAnchor>
</xdr:wsDr>
</file>

<file path=xl/drawings/drawing4.xml><?xml version="1.0" encoding="utf-8"?>
<c:userShapes xmlns:c="http://schemas.openxmlformats.org/drawingml/2006/chart">
  <cdr:relSizeAnchor xmlns:cdr="http://schemas.openxmlformats.org/drawingml/2006/chartDrawing">
    <cdr:from>
      <cdr:x>0.12095</cdr:x>
      <cdr:y>0.06049</cdr:y>
    </cdr:from>
    <cdr:to>
      <cdr:x>0.84974</cdr:x>
      <cdr:y>0.16499</cdr:y>
    </cdr:to>
    <cdr:sp macro="" textlink="">
      <cdr:nvSpPr>
        <cdr:cNvPr id="2" name="ZoneTexte 1">
          <a:extLst xmlns:a="http://schemas.openxmlformats.org/drawingml/2006/main">
            <a:ext uri="{FF2B5EF4-FFF2-40B4-BE49-F238E27FC236}">
              <a16:creationId xmlns:a16="http://schemas.microsoft.com/office/drawing/2014/main" id="{B0988432-7CD9-426C-8C6C-D3B4F0D33488}"/>
            </a:ext>
          </a:extLst>
        </cdr:cNvPr>
        <cdr:cNvSpPr txBox="1"/>
      </cdr:nvSpPr>
      <cdr:spPr>
        <a:xfrm xmlns:a="http://schemas.openxmlformats.org/drawingml/2006/main">
          <a:off x="563561" y="209550"/>
          <a:ext cx="3395662"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0.13015</cdr:x>
      <cdr:y>0.06992</cdr:y>
    </cdr:from>
    <cdr:to>
      <cdr:x>0.84566</cdr:x>
      <cdr:y>0.14654</cdr:y>
    </cdr:to>
    <cdr:sp macro="" textlink="'Maquette LM'!$O$14:$V$14">
      <cdr:nvSpPr>
        <cdr:cNvPr id="3" name="ZoneTexte 3">
          <a:extLst xmlns:a="http://schemas.openxmlformats.org/drawingml/2006/main">
            <a:ext uri="{FF2B5EF4-FFF2-40B4-BE49-F238E27FC236}">
              <a16:creationId xmlns:a16="http://schemas.microsoft.com/office/drawing/2014/main" id="{FB714A6C-1B0D-4463-B3D6-9F7132E32CC7}"/>
            </a:ext>
          </a:extLst>
        </cdr:cNvPr>
        <cdr:cNvSpPr txBox="1"/>
      </cdr:nvSpPr>
      <cdr:spPr>
        <a:xfrm xmlns:a="http://schemas.openxmlformats.org/drawingml/2006/main">
          <a:off x="622365" y="241426"/>
          <a:ext cx="3421499" cy="264560"/>
        </a:xfrm>
        <a:prstGeom xmlns:a="http://schemas.openxmlformats.org/drawingml/2006/main" prst="rect">
          <a:avLst/>
        </a:prstGeom>
      </cdr:spPr>
      <cdr:txBody>
        <a:bodyPr xmlns:a="http://schemas.openxmlformats.org/drawingml/2006/main" vertOverflow="clip" wrap="square" rtlCol="0" anchor="ctr" anchorCtr="1">
          <a:spAutoFit/>
        </a:bodyPr>
        <a:lstStyle xmlns:a="http://schemas.openxmlformats.org/drawingml/2006/main"/>
        <a:p xmlns:a="http://schemas.openxmlformats.org/drawingml/2006/main">
          <a:pPr algn="ctr"/>
          <a:fld id="{4028940B-433A-4DB6-89E2-2FC9692422C1}" type="TxLink">
            <a:rPr lang="en-US" sz="1100" b="1" i="0" u="none" strike="noStrike">
              <a:solidFill>
                <a:srgbClr val="FF0000"/>
              </a:solidFill>
              <a:latin typeface="Calibri"/>
              <a:cs typeface="Calibri"/>
            </a:rPr>
            <a:pPr algn="ctr"/>
            <a:t> </a:t>
          </a:fld>
          <a:endParaRPr lang="fr-FR" sz="1400"/>
        </a:p>
      </cdr:txBody>
    </cdr:sp>
  </cdr:relSizeAnchor>
  <cdr:relSizeAnchor xmlns:cdr="http://schemas.openxmlformats.org/drawingml/2006/chartDrawing">
    <cdr:from>
      <cdr:x>0.09555</cdr:x>
      <cdr:y>0.06442</cdr:y>
    </cdr:from>
    <cdr:to>
      <cdr:x>0.71437</cdr:x>
      <cdr:y>0.14931</cdr:y>
    </cdr:to>
    <cdr:sp macro="" textlink="">
      <cdr:nvSpPr>
        <cdr:cNvPr id="4" name="ZoneTexte 3">
          <a:extLst xmlns:a="http://schemas.openxmlformats.org/drawingml/2006/main">
            <a:ext uri="{FF2B5EF4-FFF2-40B4-BE49-F238E27FC236}">
              <a16:creationId xmlns:a16="http://schemas.microsoft.com/office/drawing/2014/main" id="{C6BA5FC5-3E4C-4CBF-8DF9-189C389B7646}"/>
            </a:ext>
          </a:extLst>
        </cdr:cNvPr>
        <cdr:cNvSpPr txBox="1"/>
      </cdr:nvSpPr>
      <cdr:spPr>
        <a:xfrm xmlns:a="http://schemas.openxmlformats.org/drawingml/2006/main">
          <a:off x="444498" y="224897"/>
          <a:ext cx="2878666" cy="296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0.182</cdr:x>
      <cdr:y>0.04623</cdr:y>
    </cdr:from>
    <cdr:to>
      <cdr:x>0.84541</cdr:x>
      <cdr:y>0.18569</cdr:y>
    </cdr:to>
    <cdr:sp macro="" textlink="Titre_Graph_LM">
      <cdr:nvSpPr>
        <cdr:cNvPr id="5" name="ZoneTexte 4">
          <a:extLst xmlns:a="http://schemas.openxmlformats.org/drawingml/2006/main">
            <a:ext uri="{FF2B5EF4-FFF2-40B4-BE49-F238E27FC236}">
              <a16:creationId xmlns:a16="http://schemas.microsoft.com/office/drawing/2014/main" id="{802D1D83-4BA3-445C-8BD0-36AE0BB8818A}"/>
            </a:ext>
          </a:extLst>
        </cdr:cNvPr>
        <cdr:cNvSpPr txBox="1"/>
      </cdr:nvSpPr>
      <cdr:spPr>
        <a:xfrm xmlns:a="http://schemas.openxmlformats.org/drawingml/2006/main">
          <a:off x="846664" y="161397"/>
          <a:ext cx="3086099" cy="4868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76E2964-F738-45C0-8610-CFFE8AF65E50}" type="TxLink">
            <a:rPr lang="en-US" sz="900" b="1" i="0" u="none" strike="noStrike">
              <a:solidFill>
                <a:sysClr val="windowText" lastClr="000000"/>
              </a:solidFill>
              <a:latin typeface="Verdana" panose="020B0604030504040204" pitchFamily="34" charset="0"/>
              <a:ea typeface="Verdana" panose="020B0604030504040204" pitchFamily="34" charset="0"/>
              <a:cs typeface="Calibri"/>
            </a:rPr>
            <a:pPr algn="ctr"/>
            <a:t>Structure du coût de l'uo établissement pour la LM Stérilisation</a:t>
          </a:fld>
          <a:endParaRPr lang="fr-FR" sz="900">
            <a:solidFill>
              <a:sysClr val="windowText" lastClr="000000"/>
            </a:solidFill>
            <a:latin typeface="Verdana" panose="020B0604030504040204" pitchFamily="34" charset="0"/>
            <a:ea typeface="Verdana" panose="020B060403050404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tc.atih.sante.fr/" TargetMode="External"/><Relationship Id="rId2" Type="http://schemas.openxmlformats.org/officeDocument/2006/relationships/hyperlink" Target="https://www.scansante.fr/applications/cout-dunites-doeuvre" TargetMode="External"/><Relationship Id="rId1" Type="http://schemas.openxmlformats.org/officeDocument/2006/relationships/hyperlink" Target="https://hospidiag.atih.sante.f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2:M110"/>
  <sheetViews>
    <sheetView showGridLines="0" tabSelected="1" zoomScaleNormal="100" workbookViewId="0">
      <selection activeCell="B2" sqref="B2:K2"/>
    </sheetView>
  </sheetViews>
  <sheetFormatPr baseColWidth="10" defaultColWidth="10.6328125" defaultRowHeight="12.6" x14ac:dyDescent="0.2"/>
  <cols>
    <col min="1" max="1" width="3.26953125" style="159" customWidth="1"/>
    <col min="2" max="2" width="17.453125" style="159" customWidth="1"/>
    <col min="3" max="16384" width="10.6328125" style="159"/>
  </cols>
  <sheetData>
    <row r="2" spans="2:11" ht="40.5" customHeight="1" x14ac:dyDescent="0.2">
      <c r="B2" s="236" t="s">
        <v>173</v>
      </c>
      <c r="C2" s="236"/>
      <c r="D2" s="236"/>
      <c r="E2" s="236"/>
      <c r="F2" s="236"/>
      <c r="G2" s="236"/>
      <c r="H2" s="236"/>
      <c r="I2" s="236"/>
      <c r="J2" s="236"/>
      <c r="K2" s="236"/>
    </row>
    <row r="4" spans="2:11" ht="19.8" x14ac:dyDescent="0.2">
      <c r="B4" s="215" t="s">
        <v>7</v>
      </c>
      <c r="C4" s="216"/>
      <c r="D4" s="216"/>
      <c r="E4" s="216"/>
      <c r="F4" s="216"/>
      <c r="G4" s="216"/>
      <c r="H4" s="216"/>
      <c r="I4" s="216"/>
      <c r="J4" s="216"/>
      <c r="K4" s="217"/>
    </row>
    <row r="5" spans="2:11" ht="7.95" customHeight="1" x14ac:dyDescent="0.2">
      <c r="B5" s="163"/>
      <c r="C5" s="164"/>
      <c r="D5" s="164"/>
      <c r="E5" s="164"/>
      <c r="F5" s="164"/>
      <c r="G5" s="164"/>
      <c r="H5" s="164"/>
      <c r="I5" s="164"/>
      <c r="J5" s="164"/>
      <c r="K5" s="182"/>
    </row>
    <row r="6" spans="2:11" ht="15" x14ac:dyDescent="0.25">
      <c r="B6" s="165" t="s">
        <v>20</v>
      </c>
      <c r="C6" s="175"/>
      <c r="D6" s="176" t="s">
        <v>8</v>
      </c>
      <c r="E6" s="211" t="s">
        <v>176</v>
      </c>
      <c r="F6" s="176" t="s">
        <v>9</v>
      </c>
      <c r="G6" s="211" t="s">
        <v>176</v>
      </c>
      <c r="H6" s="176" t="s">
        <v>10</v>
      </c>
      <c r="I6" s="211" t="s">
        <v>176</v>
      </c>
      <c r="J6" s="176" t="s">
        <v>11</v>
      </c>
      <c r="K6" s="213" t="s">
        <v>176</v>
      </c>
    </row>
    <row r="7" spans="2:11" ht="7.95" customHeight="1" x14ac:dyDescent="0.2">
      <c r="B7" s="165"/>
      <c r="C7" s="175"/>
      <c r="D7" s="175"/>
      <c r="E7" s="175"/>
      <c r="F7" s="175"/>
      <c r="G7" s="175"/>
      <c r="H7" s="175"/>
      <c r="I7" s="175"/>
      <c r="J7" s="175"/>
      <c r="K7" s="160"/>
    </row>
    <row r="8" spans="2:11" ht="15" x14ac:dyDescent="0.25">
      <c r="B8" s="165" t="s">
        <v>21</v>
      </c>
      <c r="C8" s="175"/>
      <c r="D8" s="177" t="s">
        <v>16</v>
      </c>
      <c r="E8" s="178" t="s">
        <v>12</v>
      </c>
      <c r="F8" s="179" t="s">
        <v>13</v>
      </c>
      <c r="G8" s="178" t="s">
        <v>12</v>
      </c>
      <c r="H8" s="179" t="s">
        <v>14</v>
      </c>
      <c r="I8" s="178" t="s">
        <v>12</v>
      </c>
      <c r="J8" s="179" t="s">
        <v>15</v>
      </c>
      <c r="K8" s="213" t="s">
        <v>176</v>
      </c>
    </row>
    <row r="9" spans="2:11" ht="7.95" customHeight="1" x14ac:dyDescent="0.2">
      <c r="B9" s="165"/>
      <c r="C9" s="175"/>
      <c r="D9" s="175"/>
      <c r="E9" s="175"/>
      <c r="F9" s="175"/>
      <c r="G9" s="175"/>
      <c r="H9" s="175"/>
      <c r="I9" s="175"/>
      <c r="J9" s="175"/>
      <c r="K9" s="160"/>
    </row>
    <row r="10" spans="2:11" ht="15" x14ac:dyDescent="0.25">
      <c r="B10" s="165" t="s">
        <v>22</v>
      </c>
      <c r="C10" s="175"/>
      <c r="D10" s="176" t="s">
        <v>17</v>
      </c>
      <c r="E10" s="211" t="s">
        <v>176</v>
      </c>
      <c r="F10" s="176" t="s">
        <v>18</v>
      </c>
      <c r="G10" s="178" t="s">
        <v>12</v>
      </c>
      <c r="H10" s="175"/>
      <c r="I10" s="175"/>
      <c r="J10" s="175"/>
      <c r="K10" s="160"/>
    </row>
    <row r="11" spans="2:11" ht="7.95" customHeight="1" x14ac:dyDescent="0.2">
      <c r="B11" s="165"/>
      <c r="C11" s="175"/>
      <c r="D11" s="179"/>
      <c r="E11" s="178"/>
      <c r="F11" s="179"/>
      <c r="G11" s="178"/>
      <c r="H11" s="175"/>
      <c r="I11" s="175"/>
      <c r="J11" s="175"/>
      <c r="K11" s="160"/>
    </row>
    <row r="12" spans="2:11" s="166" customFormat="1" ht="25.2" x14ac:dyDescent="0.2">
      <c r="B12" s="167" t="s">
        <v>24</v>
      </c>
      <c r="C12" s="180"/>
      <c r="D12" s="181" t="s">
        <v>23</v>
      </c>
      <c r="E12" s="178" t="s">
        <v>176</v>
      </c>
      <c r="F12" s="181" t="s">
        <v>25</v>
      </c>
      <c r="G12" s="178" t="s">
        <v>176</v>
      </c>
      <c r="H12" s="181" t="s">
        <v>26</v>
      </c>
      <c r="I12" s="178" t="s">
        <v>176</v>
      </c>
      <c r="J12" s="181" t="s">
        <v>27</v>
      </c>
      <c r="K12" s="214" t="s">
        <v>176</v>
      </c>
    </row>
    <row r="13" spans="2:11" ht="7.95" customHeight="1" x14ac:dyDescent="0.2">
      <c r="B13" s="165"/>
      <c r="C13" s="175"/>
      <c r="D13" s="179"/>
      <c r="E13" s="178"/>
      <c r="F13" s="179"/>
      <c r="G13" s="178"/>
      <c r="H13" s="175"/>
      <c r="I13" s="175"/>
      <c r="J13" s="175"/>
      <c r="K13" s="160"/>
    </row>
    <row r="14" spans="2:11" ht="15" customHeight="1" x14ac:dyDescent="0.2">
      <c r="B14" s="168" t="s">
        <v>19</v>
      </c>
      <c r="C14" s="242" t="s">
        <v>168</v>
      </c>
      <c r="D14" s="242"/>
      <c r="E14" s="242"/>
      <c r="F14" s="242"/>
      <c r="G14" s="242"/>
      <c r="H14" s="242"/>
      <c r="I14" s="242"/>
      <c r="J14" s="242"/>
      <c r="K14" s="243"/>
    </row>
    <row r="15" spans="2:11" ht="15" customHeight="1" x14ac:dyDescent="0.2">
      <c r="B15" s="165"/>
      <c r="C15" s="242"/>
      <c r="D15" s="242"/>
      <c r="E15" s="242"/>
      <c r="F15" s="242"/>
      <c r="G15" s="242"/>
      <c r="H15" s="242"/>
      <c r="I15" s="242"/>
      <c r="J15" s="242"/>
      <c r="K15" s="243"/>
    </row>
    <row r="16" spans="2:11" x14ac:dyDescent="0.2">
      <c r="B16" s="165"/>
      <c r="C16" s="242"/>
      <c r="D16" s="242"/>
      <c r="E16" s="242"/>
      <c r="F16" s="242"/>
      <c r="G16" s="242"/>
      <c r="H16" s="242"/>
      <c r="I16" s="242"/>
      <c r="J16" s="242"/>
      <c r="K16" s="243"/>
    </row>
    <row r="17" spans="2:11" ht="7.95" customHeight="1" thickBot="1" x14ac:dyDescent="0.25">
      <c r="B17" s="169"/>
      <c r="C17" s="170"/>
      <c r="D17" s="170"/>
      <c r="E17" s="170"/>
      <c r="F17" s="170"/>
      <c r="G17" s="170"/>
      <c r="H17" s="170"/>
      <c r="I17" s="170"/>
      <c r="J17" s="170"/>
      <c r="K17" s="171"/>
    </row>
    <row r="18" spans="2:11" ht="13.2" thickTop="1" x14ac:dyDescent="0.2"/>
    <row r="19" spans="2:11" ht="19.8" x14ac:dyDescent="0.2">
      <c r="B19" s="215" t="s">
        <v>0</v>
      </c>
      <c r="C19" s="216"/>
      <c r="D19" s="216"/>
      <c r="E19" s="216"/>
      <c r="F19" s="216"/>
      <c r="G19" s="216"/>
      <c r="H19" s="216"/>
      <c r="I19" s="216"/>
      <c r="J19" s="216"/>
      <c r="K19" s="217"/>
    </row>
    <row r="20" spans="2:11" x14ac:dyDescent="0.2">
      <c r="B20" s="237" t="s">
        <v>170</v>
      </c>
      <c r="C20" s="238"/>
      <c r="D20" s="238"/>
      <c r="E20" s="238"/>
      <c r="F20" s="238"/>
      <c r="G20" s="238"/>
      <c r="H20" s="238"/>
      <c r="I20" s="238"/>
      <c r="J20" s="238"/>
      <c r="K20" s="220"/>
    </row>
    <row r="21" spans="2:11" x14ac:dyDescent="0.2">
      <c r="B21" s="237"/>
      <c r="C21" s="238"/>
      <c r="D21" s="238"/>
      <c r="E21" s="238"/>
      <c r="F21" s="238"/>
      <c r="G21" s="238"/>
      <c r="H21" s="238"/>
      <c r="I21" s="238"/>
      <c r="J21" s="238"/>
      <c r="K21" s="220"/>
    </row>
    <row r="22" spans="2:11" x14ac:dyDescent="0.2">
      <c r="B22" s="237"/>
      <c r="C22" s="238"/>
      <c r="D22" s="238"/>
      <c r="E22" s="238"/>
      <c r="F22" s="238"/>
      <c r="G22" s="238"/>
      <c r="H22" s="238"/>
      <c r="I22" s="238"/>
      <c r="J22" s="238"/>
      <c r="K22" s="220"/>
    </row>
    <row r="23" spans="2:11" ht="13.2" thickBot="1" x14ac:dyDescent="0.25">
      <c r="B23" s="239"/>
      <c r="C23" s="240"/>
      <c r="D23" s="240"/>
      <c r="E23" s="240"/>
      <c r="F23" s="240"/>
      <c r="G23" s="240"/>
      <c r="H23" s="240"/>
      <c r="I23" s="240"/>
      <c r="J23" s="240"/>
      <c r="K23" s="241"/>
    </row>
    <row r="24" spans="2:11" ht="13.2" thickTop="1" x14ac:dyDescent="0.2"/>
    <row r="25" spans="2:11" ht="19.8" x14ac:dyDescent="0.2">
      <c r="B25" s="215" t="s">
        <v>1</v>
      </c>
      <c r="C25" s="216"/>
      <c r="D25" s="216"/>
      <c r="E25" s="216"/>
      <c r="F25" s="216"/>
      <c r="G25" s="216"/>
      <c r="H25" s="216"/>
      <c r="I25" s="216"/>
      <c r="J25" s="216"/>
      <c r="K25" s="217"/>
    </row>
    <row r="26" spans="2:11" x14ac:dyDescent="0.2">
      <c r="B26" s="250" t="s">
        <v>171</v>
      </c>
      <c r="C26" s="251"/>
      <c r="D26" s="251"/>
      <c r="E26" s="251"/>
      <c r="F26" s="251"/>
      <c r="G26" s="251"/>
      <c r="H26" s="251"/>
      <c r="I26" s="251"/>
      <c r="J26" s="251"/>
      <c r="K26" s="252"/>
    </row>
    <row r="27" spans="2:11" x14ac:dyDescent="0.2">
      <c r="B27" s="253"/>
      <c r="C27" s="251"/>
      <c r="D27" s="251"/>
      <c r="E27" s="251"/>
      <c r="F27" s="251"/>
      <c r="G27" s="251"/>
      <c r="H27" s="251"/>
      <c r="I27" s="251"/>
      <c r="J27" s="251"/>
      <c r="K27" s="252"/>
    </row>
    <row r="28" spans="2:11" x14ac:dyDescent="0.2">
      <c r="B28" s="253"/>
      <c r="C28" s="251"/>
      <c r="D28" s="251"/>
      <c r="E28" s="251"/>
      <c r="F28" s="251"/>
      <c r="G28" s="251"/>
      <c r="H28" s="251"/>
      <c r="I28" s="251"/>
      <c r="J28" s="251"/>
      <c r="K28" s="252"/>
    </row>
    <row r="29" spans="2:11" x14ac:dyDescent="0.2">
      <c r="B29" s="253"/>
      <c r="C29" s="251"/>
      <c r="D29" s="251"/>
      <c r="E29" s="251"/>
      <c r="F29" s="251"/>
      <c r="G29" s="251"/>
      <c r="H29" s="251"/>
      <c r="I29" s="251"/>
      <c r="J29" s="251"/>
      <c r="K29" s="252"/>
    </row>
    <row r="30" spans="2:11" x14ac:dyDescent="0.2">
      <c r="B30" s="253"/>
      <c r="C30" s="251"/>
      <c r="D30" s="251"/>
      <c r="E30" s="251"/>
      <c r="F30" s="251"/>
      <c r="G30" s="251"/>
      <c r="H30" s="251"/>
      <c r="I30" s="251"/>
      <c r="J30" s="251"/>
      <c r="K30" s="252"/>
    </row>
    <row r="31" spans="2:11" x14ac:dyDescent="0.2">
      <c r="B31" s="253"/>
      <c r="C31" s="251"/>
      <c r="D31" s="251"/>
      <c r="E31" s="251"/>
      <c r="F31" s="251"/>
      <c r="G31" s="251"/>
      <c r="H31" s="251"/>
      <c r="I31" s="251"/>
      <c r="J31" s="251"/>
      <c r="K31" s="252"/>
    </row>
    <row r="32" spans="2:11" x14ac:dyDescent="0.2">
      <c r="B32" s="253"/>
      <c r="C32" s="251"/>
      <c r="D32" s="251"/>
      <c r="E32" s="251"/>
      <c r="F32" s="251"/>
      <c r="G32" s="251"/>
      <c r="H32" s="251"/>
      <c r="I32" s="251"/>
      <c r="J32" s="251"/>
      <c r="K32" s="252"/>
    </row>
    <row r="33" spans="2:11" x14ac:dyDescent="0.2">
      <c r="B33" s="253"/>
      <c r="C33" s="251"/>
      <c r="D33" s="251"/>
      <c r="E33" s="251"/>
      <c r="F33" s="251"/>
      <c r="G33" s="251"/>
      <c r="H33" s="251"/>
      <c r="I33" s="251"/>
      <c r="J33" s="251"/>
      <c r="K33" s="252"/>
    </row>
    <row r="34" spans="2:11" x14ac:dyDescent="0.2">
      <c r="B34" s="253"/>
      <c r="C34" s="251"/>
      <c r="D34" s="251"/>
      <c r="E34" s="251"/>
      <c r="F34" s="251"/>
      <c r="G34" s="251"/>
      <c r="H34" s="251"/>
      <c r="I34" s="251"/>
      <c r="J34" s="251"/>
      <c r="K34" s="252"/>
    </row>
    <row r="35" spans="2:11" ht="13.2" thickBot="1" x14ac:dyDescent="0.25">
      <c r="B35" s="254"/>
      <c r="C35" s="255"/>
      <c r="D35" s="255"/>
      <c r="E35" s="255"/>
      <c r="F35" s="255"/>
      <c r="G35" s="255"/>
      <c r="H35" s="255"/>
      <c r="I35" s="255"/>
      <c r="J35" s="255"/>
      <c r="K35" s="256"/>
    </row>
    <row r="36" spans="2:11" ht="13.2" thickTop="1" x14ac:dyDescent="0.2"/>
    <row r="37" spans="2:11" ht="19.8" x14ac:dyDescent="0.2">
      <c r="B37" s="215" t="s">
        <v>2</v>
      </c>
      <c r="C37" s="216"/>
      <c r="D37" s="216"/>
      <c r="E37" s="216"/>
      <c r="F37" s="216"/>
      <c r="G37" s="216"/>
      <c r="H37" s="216"/>
      <c r="I37" s="216"/>
      <c r="J37" s="216"/>
      <c r="K37" s="217"/>
    </row>
    <row r="38" spans="2:11" ht="13.5" customHeight="1" x14ac:dyDescent="0.2">
      <c r="B38" s="257" t="s">
        <v>153</v>
      </c>
      <c r="C38" s="258"/>
      <c r="D38" s="258"/>
      <c r="E38" s="258"/>
      <c r="F38" s="258"/>
      <c r="G38" s="258"/>
      <c r="H38" s="258"/>
      <c r="I38" s="258"/>
      <c r="J38" s="258"/>
      <c r="K38" s="259"/>
    </row>
    <row r="39" spans="2:11" x14ac:dyDescent="0.2">
      <c r="B39" s="257"/>
      <c r="C39" s="258"/>
      <c r="D39" s="258"/>
      <c r="E39" s="258"/>
      <c r="F39" s="258"/>
      <c r="G39" s="258"/>
      <c r="H39" s="258"/>
      <c r="I39" s="258"/>
      <c r="J39" s="258"/>
      <c r="K39" s="259"/>
    </row>
    <row r="40" spans="2:11" x14ac:dyDescent="0.2">
      <c r="B40" s="257"/>
      <c r="C40" s="258"/>
      <c r="D40" s="258"/>
      <c r="E40" s="258"/>
      <c r="F40" s="258"/>
      <c r="G40" s="258"/>
      <c r="H40" s="258"/>
      <c r="I40" s="258"/>
      <c r="J40" s="258"/>
      <c r="K40" s="259"/>
    </row>
    <row r="41" spans="2:11" x14ac:dyDescent="0.2">
      <c r="B41" s="257"/>
      <c r="C41" s="258"/>
      <c r="D41" s="258"/>
      <c r="E41" s="258"/>
      <c r="F41" s="258"/>
      <c r="G41" s="258"/>
      <c r="H41" s="258"/>
      <c r="I41" s="258"/>
      <c r="J41" s="258"/>
      <c r="K41" s="259"/>
    </row>
    <row r="42" spans="2:11" x14ac:dyDescent="0.2">
      <c r="B42" s="257"/>
      <c r="C42" s="258"/>
      <c r="D42" s="258"/>
      <c r="E42" s="258"/>
      <c r="F42" s="258"/>
      <c r="G42" s="258"/>
      <c r="H42" s="258"/>
      <c r="I42" s="258"/>
      <c r="J42" s="258"/>
      <c r="K42" s="259"/>
    </row>
    <row r="43" spans="2:11" x14ac:dyDescent="0.2">
      <c r="B43" s="257"/>
      <c r="C43" s="258"/>
      <c r="D43" s="258"/>
      <c r="E43" s="258"/>
      <c r="F43" s="258"/>
      <c r="G43" s="258"/>
      <c r="H43" s="258"/>
      <c r="I43" s="258"/>
      <c r="J43" s="258"/>
      <c r="K43" s="259"/>
    </row>
    <row r="44" spans="2:11" x14ac:dyDescent="0.2">
      <c r="B44" s="257"/>
      <c r="C44" s="258"/>
      <c r="D44" s="258"/>
      <c r="E44" s="258"/>
      <c r="F44" s="258"/>
      <c r="G44" s="258"/>
      <c r="H44" s="258"/>
      <c r="I44" s="258"/>
      <c r="J44" s="258"/>
      <c r="K44" s="259"/>
    </row>
    <row r="45" spans="2:11" x14ac:dyDescent="0.2">
      <c r="B45" s="184" t="s">
        <v>141</v>
      </c>
      <c r="C45" s="185"/>
      <c r="D45" s="185"/>
      <c r="E45" s="185"/>
      <c r="F45" s="185"/>
      <c r="G45" s="185"/>
      <c r="H45" s="185"/>
      <c r="I45" s="185"/>
      <c r="J45" s="185"/>
      <c r="K45" s="186"/>
    </row>
    <row r="46" spans="2:11" x14ac:dyDescent="0.2">
      <c r="B46" s="183" t="s">
        <v>142</v>
      </c>
      <c r="C46" s="185"/>
      <c r="D46" s="185"/>
      <c r="E46" s="185"/>
      <c r="F46" s="185"/>
      <c r="G46" s="185"/>
      <c r="H46" s="185"/>
      <c r="I46" s="185"/>
      <c r="J46" s="185"/>
      <c r="K46" s="186"/>
    </row>
    <row r="47" spans="2:11" ht="24.6" customHeight="1" x14ac:dyDescent="0.2">
      <c r="B47" s="260" t="s">
        <v>143</v>
      </c>
      <c r="C47" s="261"/>
      <c r="D47" s="261"/>
      <c r="E47" s="261"/>
      <c r="F47" s="261"/>
      <c r="G47" s="261"/>
      <c r="H47" s="261"/>
      <c r="I47" s="261"/>
      <c r="J47" s="261"/>
      <c r="K47" s="262"/>
    </row>
    <row r="48" spans="2:11" x14ac:dyDescent="0.2">
      <c r="B48" s="183" t="s">
        <v>126</v>
      </c>
      <c r="C48" s="185"/>
      <c r="D48" s="185"/>
      <c r="E48" s="185"/>
      <c r="F48" s="185"/>
      <c r="G48" s="185"/>
      <c r="H48" s="185"/>
      <c r="I48" s="185"/>
      <c r="J48" s="185"/>
      <c r="K48" s="186"/>
    </row>
    <row r="49" spans="2:11" x14ac:dyDescent="0.2">
      <c r="B49" s="183" t="s">
        <v>127</v>
      </c>
      <c r="C49" s="185"/>
      <c r="D49" s="185"/>
      <c r="E49" s="185"/>
      <c r="F49" s="185"/>
      <c r="G49" s="185"/>
      <c r="H49" s="185"/>
      <c r="I49" s="185"/>
      <c r="J49" s="185"/>
      <c r="K49" s="186"/>
    </row>
    <row r="50" spans="2:11" x14ac:dyDescent="0.2">
      <c r="B50" s="183" t="s">
        <v>128</v>
      </c>
      <c r="C50" s="185"/>
      <c r="D50" s="185"/>
      <c r="E50" s="185"/>
      <c r="F50" s="185"/>
      <c r="G50" s="185"/>
      <c r="H50" s="185"/>
      <c r="I50" s="185"/>
      <c r="J50" s="185"/>
      <c r="K50" s="186"/>
    </row>
    <row r="51" spans="2:11" x14ac:dyDescent="0.2">
      <c r="B51" s="183" t="s">
        <v>129</v>
      </c>
      <c r="C51" s="185"/>
      <c r="D51" s="185"/>
      <c r="E51" s="185"/>
      <c r="F51" s="185"/>
      <c r="G51" s="185"/>
      <c r="H51" s="185"/>
      <c r="I51" s="185"/>
      <c r="J51" s="185"/>
      <c r="K51" s="186"/>
    </row>
    <row r="52" spans="2:11" ht="13.2" thickBot="1" x14ac:dyDescent="0.25">
      <c r="B52" s="172"/>
      <c r="C52" s="161"/>
      <c r="D52" s="161"/>
      <c r="E52" s="161"/>
      <c r="F52" s="161"/>
      <c r="G52" s="161"/>
      <c r="H52" s="161"/>
      <c r="I52" s="161"/>
      <c r="J52" s="161"/>
      <c r="K52" s="162"/>
    </row>
    <row r="53" spans="2:11" ht="13.2" thickTop="1" x14ac:dyDescent="0.2"/>
    <row r="54" spans="2:11" ht="19.8" x14ac:dyDescent="0.2">
      <c r="B54" s="215" t="s">
        <v>3</v>
      </c>
      <c r="C54" s="216"/>
      <c r="D54" s="216"/>
      <c r="E54" s="216"/>
      <c r="F54" s="216"/>
      <c r="G54" s="216"/>
      <c r="H54" s="216"/>
      <c r="I54" s="216"/>
      <c r="J54" s="216"/>
      <c r="K54" s="217"/>
    </row>
    <row r="55" spans="2:11" x14ac:dyDescent="0.2">
      <c r="B55" s="187" t="s">
        <v>154</v>
      </c>
      <c r="C55" s="188"/>
      <c r="D55" s="188"/>
      <c r="E55" s="188"/>
      <c r="F55" s="188"/>
      <c r="G55" s="188"/>
      <c r="H55" s="188"/>
      <c r="I55" s="188"/>
      <c r="J55" s="188"/>
      <c r="K55" s="186"/>
    </row>
    <row r="56" spans="2:11" ht="24.6" customHeight="1" x14ac:dyDescent="0.2">
      <c r="B56" s="237" t="s">
        <v>155</v>
      </c>
      <c r="C56" s="238"/>
      <c r="D56" s="238"/>
      <c r="E56" s="238"/>
      <c r="F56" s="238"/>
      <c r="G56" s="238"/>
      <c r="H56" s="238"/>
      <c r="I56" s="238"/>
      <c r="J56" s="238"/>
      <c r="K56" s="220"/>
    </row>
    <row r="57" spans="2:11" x14ac:dyDescent="0.2">
      <c r="B57" s="184" t="s">
        <v>144</v>
      </c>
      <c r="C57" s="188"/>
      <c r="D57" s="188"/>
      <c r="E57" s="188"/>
      <c r="F57" s="188"/>
      <c r="G57" s="188"/>
      <c r="H57" s="188"/>
      <c r="I57" s="188"/>
      <c r="J57" s="188"/>
      <c r="K57" s="186"/>
    </row>
    <row r="58" spans="2:11" x14ac:dyDescent="0.2">
      <c r="B58" s="237" t="s">
        <v>145</v>
      </c>
      <c r="C58" s="238"/>
      <c r="D58" s="238"/>
      <c r="E58" s="238"/>
      <c r="F58" s="238"/>
      <c r="G58" s="238"/>
      <c r="H58" s="238"/>
      <c r="I58" s="238"/>
      <c r="J58" s="238"/>
      <c r="K58" s="220"/>
    </row>
    <row r="59" spans="2:11" x14ac:dyDescent="0.2">
      <c r="B59" s="184" t="s">
        <v>156</v>
      </c>
      <c r="C59" s="188"/>
      <c r="D59" s="188"/>
      <c r="E59" s="188"/>
      <c r="F59" s="188"/>
      <c r="G59" s="188"/>
      <c r="H59" s="188"/>
      <c r="I59" s="188"/>
      <c r="J59" s="188"/>
      <c r="K59" s="186"/>
    </row>
    <row r="60" spans="2:11" x14ac:dyDescent="0.2">
      <c r="B60" s="189"/>
      <c r="C60" s="188"/>
      <c r="D60" s="188"/>
      <c r="E60" s="188"/>
      <c r="F60" s="188"/>
      <c r="G60" s="188"/>
      <c r="H60" s="188"/>
      <c r="I60" s="188"/>
      <c r="J60" s="188"/>
      <c r="K60" s="186"/>
    </row>
    <row r="61" spans="2:11" x14ac:dyDescent="0.2">
      <c r="B61" s="187" t="s">
        <v>169</v>
      </c>
      <c r="C61" s="188"/>
      <c r="D61" s="188"/>
      <c r="E61" s="188"/>
      <c r="F61" s="188"/>
      <c r="G61" s="188"/>
      <c r="H61" s="188"/>
      <c r="I61" s="188"/>
      <c r="J61" s="188"/>
      <c r="K61" s="186"/>
    </row>
    <row r="62" spans="2:11" x14ac:dyDescent="0.2">
      <c r="B62" s="190" t="s">
        <v>146</v>
      </c>
      <c r="C62" s="188"/>
      <c r="D62" s="188"/>
      <c r="E62" s="188"/>
      <c r="F62" s="188"/>
      <c r="G62" s="188"/>
      <c r="H62" s="188"/>
      <c r="I62" s="188"/>
      <c r="J62" s="188"/>
      <c r="K62" s="186"/>
    </row>
    <row r="63" spans="2:11" ht="25.2" customHeight="1" x14ac:dyDescent="0.2">
      <c r="B63" s="263" t="s">
        <v>147</v>
      </c>
      <c r="C63" s="264"/>
      <c r="D63" s="264"/>
      <c r="E63" s="264"/>
      <c r="F63" s="264"/>
      <c r="G63" s="264"/>
      <c r="H63" s="264"/>
      <c r="I63" s="264"/>
      <c r="J63" s="264"/>
      <c r="K63" s="223"/>
    </row>
    <row r="64" spans="2:11" ht="26.25" customHeight="1" x14ac:dyDescent="0.2">
      <c r="B64" s="191"/>
      <c r="C64" s="192"/>
      <c r="D64" s="192"/>
      <c r="E64" s="192"/>
      <c r="F64" s="192"/>
      <c r="G64" s="192"/>
      <c r="H64" s="192"/>
      <c r="I64" s="192"/>
      <c r="J64" s="192"/>
      <c r="K64" s="193"/>
    </row>
    <row r="65" spans="2:13" x14ac:dyDescent="0.2">
      <c r="B65" s="184" t="s">
        <v>152</v>
      </c>
      <c r="C65" s="188"/>
      <c r="D65" s="188"/>
      <c r="E65" s="188"/>
      <c r="F65" s="188"/>
      <c r="G65" s="188"/>
      <c r="H65" s="188"/>
      <c r="I65" s="188"/>
      <c r="J65" s="188"/>
      <c r="K65" s="186"/>
    </row>
    <row r="66" spans="2:13" x14ac:dyDescent="0.2">
      <c r="B66" s="187"/>
      <c r="C66" s="188"/>
      <c r="D66" s="188"/>
      <c r="E66" s="188"/>
      <c r="F66" s="188"/>
      <c r="G66" s="188"/>
      <c r="H66" s="188"/>
      <c r="I66" s="188"/>
      <c r="J66" s="188"/>
      <c r="K66" s="186"/>
    </row>
    <row r="67" spans="2:13" x14ac:dyDescent="0.2">
      <c r="B67" s="187" t="s">
        <v>157</v>
      </c>
      <c r="C67" s="188"/>
      <c r="D67" s="188"/>
      <c r="E67" s="188"/>
      <c r="F67" s="188"/>
      <c r="G67" s="188"/>
      <c r="H67" s="188"/>
      <c r="I67" s="188"/>
      <c r="J67" s="188"/>
      <c r="K67" s="186"/>
    </row>
    <row r="68" spans="2:13" ht="21.75" customHeight="1" x14ac:dyDescent="0.2">
      <c r="B68" s="244" t="s">
        <v>164</v>
      </c>
      <c r="C68" s="245"/>
      <c r="D68" s="245"/>
      <c r="E68" s="245"/>
      <c r="F68" s="245"/>
      <c r="G68" s="245"/>
      <c r="H68" s="245"/>
      <c r="I68" s="245"/>
      <c r="J68" s="245"/>
      <c r="K68" s="246"/>
    </row>
    <row r="69" spans="2:13" x14ac:dyDescent="0.2">
      <c r="B69" s="247"/>
      <c r="C69" s="248"/>
      <c r="D69" s="248"/>
      <c r="E69" s="248"/>
      <c r="F69" s="248"/>
      <c r="G69" s="248"/>
      <c r="H69" s="248"/>
      <c r="I69" s="248"/>
      <c r="J69" s="248"/>
      <c r="K69" s="249"/>
    </row>
    <row r="70" spans="2:13" x14ac:dyDescent="0.2">
      <c r="B70" s="194"/>
      <c r="C70" s="195"/>
      <c r="D70" s="195"/>
      <c r="E70" s="195"/>
      <c r="F70" s="195"/>
      <c r="G70" s="195"/>
      <c r="H70" s="195"/>
      <c r="I70" s="195"/>
      <c r="J70" s="195"/>
      <c r="K70" s="196"/>
    </row>
    <row r="71" spans="2:13" ht="13.2" thickBot="1" x14ac:dyDescent="0.25">
      <c r="B71" s="197"/>
      <c r="C71" s="198"/>
      <c r="D71" s="198"/>
      <c r="E71" s="198"/>
      <c r="F71" s="198"/>
      <c r="G71" s="198"/>
      <c r="H71" s="198"/>
      <c r="I71" s="198"/>
      <c r="J71" s="198"/>
      <c r="K71" s="199"/>
    </row>
    <row r="72" spans="2:13" ht="13.2" thickTop="1" x14ac:dyDescent="0.2"/>
    <row r="73" spans="2:13" ht="19.8" x14ac:dyDescent="0.2">
      <c r="B73" s="215" t="s">
        <v>4</v>
      </c>
      <c r="C73" s="216"/>
      <c r="D73" s="216"/>
      <c r="E73" s="216"/>
      <c r="F73" s="216"/>
      <c r="G73" s="216"/>
      <c r="H73" s="216"/>
      <c r="I73" s="216"/>
      <c r="J73" s="216"/>
      <c r="K73" s="217"/>
    </row>
    <row r="74" spans="2:13" x14ac:dyDescent="0.2">
      <c r="B74" s="226" t="s">
        <v>158</v>
      </c>
      <c r="C74" s="227"/>
      <c r="D74" s="227"/>
      <c r="E74" s="227"/>
      <c r="F74" s="227"/>
      <c r="G74" s="227"/>
      <c r="H74" s="227"/>
      <c r="I74" s="227"/>
      <c r="J74" s="227"/>
      <c r="K74" s="228"/>
    </row>
    <row r="75" spans="2:13" x14ac:dyDescent="0.2">
      <c r="B75" s="189" t="s">
        <v>159</v>
      </c>
      <c r="C75" s="185"/>
      <c r="D75" s="185"/>
      <c r="E75" s="185"/>
      <c r="F75" s="185"/>
      <c r="G75" s="185"/>
      <c r="H75" s="185"/>
      <c r="I75" s="185"/>
      <c r="J75" s="185"/>
      <c r="K75" s="186"/>
    </row>
    <row r="76" spans="2:13" ht="26.4" customHeight="1" x14ac:dyDescent="0.2">
      <c r="B76" s="218" t="s">
        <v>160</v>
      </c>
      <c r="C76" s="219"/>
      <c r="D76" s="219"/>
      <c r="E76" s="219"/>
      <c r="F76" s="219"/>
      <c r="G76" s="219"/>
      <c r="H76" s="219"/>
      <c r="I76" s="219"/>
      <c r="J76" s="219"/>
      <c r="K76" s="220"/>
    </row>
    <row r="77" spans="2:13" x14ac:dyDescent="0.2">
      <c r="B77" s="200" t="s">
        <v>162</v>
      </c>
      <c r="C77" s="185"/>
      <c r="D77" s="185"/>
      <c r="E77" s="185"/>
      <c r="F77" s="185"/>
      <c r="G77" s="185"/>
      <c r="H77" s="185"/>
      <c r="I77" s="185"/>
      <c r="J77" s="185"/>
      <c r="K77" s="186"/>
    </row>
    <row r="78" spans="2:13" ht="24.6" customHeight="1" x14ac:dyDescent="0.2">
      <c r="B78" s="221" t="s">
        <v>161</v>
      </c>
      <c r="C78" s="222"/>
      <c r="D78" s="222"/>
      <c r="E78" s="222"/>
      <c r="F78" s="222"/>
      <c r="G78" s="222"/>
      <c r="H78" s="222"/>
      <c r="I78" s="222"/>
      <c r="J78" s="222"/>
      <c r="K78" s="223"/>
    </row>
    <row r="79" spans="2:13" x14ac:dyDescent="0.2">
      <c r="B79" s="184"/>
      <c r="C79" s="185"/>
      <c r="D79" s="185"/>
      <c r="E79" s="185"/>
      <c r="F79" s="185"/>
      <c r="G79" s="185"/>
      <c r="H79" s="185"/>
      <c r="I79" s="185"/>
      <c r="J79" s="185"/>
      <c r="K79" s="186"/>
    </row>
    <row r="80" spans="2:13" ht="48.6" customHeight="1" thickBot="1" x14ac:dyDescent="0.25">
      <c r="B80" s="229" t="s">
        <v>163</v>
      </c>
      <c r="C80" s="230"/>
      <c r="D80" s="230"/>
      <c r="E80" s="230"/>
      <c r="F80" s="230"/>
      <c r="G80" s="230"/>
      <c r="H80" s="230"/>
      <c r="I80" s="230"/>
      <c r="J80" s="230"/>
      <c r="K80" s="231"/>
      <c r="M80" s="173"/>
    </row>
    <row r="81" spans="2:11" ht="13.2" thickTop="1" x14ac:dyDescent="0.2"/>
    <row r="82" spans="2:11" ht="19.8" x14ac:dyDescent="0.2">
      <c r="B82" s="215" t="s">
        <v>5</v>
      </c>
      <c r="C82" s="216"/>
      <c r="D82" s="216"/>
      <c r="E82" s="216"/>
      <c r="F82" s="216"/>
      <c r="G82" s="216"/>
      <c r="H82" s="216"/>
      <c r="I82" s="216"/>
      <c r="J82" s="216"/>
      <c r="K82" s="217"/>
    </row>
    <row r="83" spans="2:11" x14ac:dyDescent="0.2">
      <c r="B83" s="189" t="s">
        <v>148</v>
      </c>
      <c r="C83" s="185"/>
      <c r="D83" s="185"/>
      <c r="E83" s="185"/>
      <c r="F83" s="185"/>
      <c r="G83" s="185"/>
      <c r="H83" s="185"/>
      <c r="I83" s="185"/>
      <c r="J83" s="185"/>
      <c r="K83" s="186"/>
    </row>
    <row r="84" spans="2:11" x14ac:dyDescent="0.2">
      <c r="B84" s="189" t="s">
        <v>149</v>
      </c>
      <c r="C84" s="185"/>
      <c r="D84" s="185"/>
      <c r="E84" s="185"/>
      <c r="F84" s="185"/>
      <c r="G84" s="185"/>
      <c r="H84" s="185"/>
      <c r="I84" s="185"/>
      <c r="J84" s="185"/>
      <c r="K84" s="186"/>
    </row>
    <row r="85" spans="2:11" x14ac:dyDescent="0.2">
      <c r="B85" s="189" t="s">
        <v>165</v>
      </c>
      <c r="C85" s="185"/>
      <c r="D85" s="185"/>
      <c r="E85" s="185"/>
      <c r="F85" s="185"/>
      <c r="G85" s="185"/>
      <c r="H85" s="185"/>
      <c r="I85" s="185"/>
      <c r="J85" s="185"/>
      <c r="K85" s="186"/>
    </row>
    <row r="86" spans="2:11" ht="47.4" customHeight="1" x14ac:dyDescent="0.2">
      <c r="B86" s="218" t="s">
        <v>150</v>
      </c>
      <c r="C86" s="224"/>
      <c r="D86" s="224"/>
      <c r="E86" s="224"/>
      <c r="F86" s="224"/>
      <c r="G86" s="224"/>
      <c r="H86" s="224"/>
      <c r="I86" s="224"/>
      <c r="J86" s="224"/>
      <c r="K86" s="225"/>
    </row>
    <row r="87" spans="2:11" x14ac:dyDescent="0.2">
      <c r="B87" s="212" t="s">
        <v>177</v>
      </c>
      <c r="C87" s="185"/>
      <c r="D87" s="185"/>
      <c r="E87" s="185"/>
      <c r="F87" s="185"/>
      <c r="G87" s="185"/>
      <c r="H87" s="185"/>
      <c r="I87" s="185"/>
      <c r="J87" s="185"/>
      <c r="K87" s="186"/>
    </row>
    <row r="88" spans="2:11" x14ac:dyDescent="0.2">
      <c r="B88" s="209" t="s">
        <v>174</v>
      </c>
      <c r="C88" s="210"/>
      <c r="D88" s="188"/>
      <c r="E88" s="188"/>
      <c r="F88" s="185"/>
      <c r="G88" s="185"/>
      <c r="H88" s="185"/>
      <c r="I88" s="185"/>
      <c r="J88" s="185"/>
      <c r="K88" s="186"/>
    </row>
    <row r="89" spans="2:11" x14ac:dyDescent="0.2">
      <c r="B89" s="209" t="s">
        <v>175</v>
      </c>
      <c r="C89" s="210"/>
      <c r="D89" s="188"/>
      <c r="E89" s="188"/>
      <c r="F89" s="185"/>
      <c r="G89" s="185"/>
      <c r="H89" s="185"/>
      <c r="I89" s="185"/>
      <c r="J89" s="185"/>
      <c r="K89" s="186"/>
    </row>
    <row r="90" spans="2:11" ht="13.2" thickBot="1" x14ac:dyDescent="0.25">
      <c r="B90" s="233"/>
      <c r="C90" s="234"/>
      <c r="D90" s="234"/>
      <c r="E90" s="234"/>
      <c r="F90" s="234"/>
      <c r="G90" s="234"/>
      <c r="H90" s="234"/>
      <c r="I90" s="234"/>
      <c r="J90" s="234"/>
      <c r="K90" s="235"/>
    </row>
    <row r="91" spans="2:11" ht="13.2" thickTop="1" x14ac:dyDescent="0.2"/>
    <row r="92" spans="2:11" ht="19.8" x14ac:dyDescent="0.2">
      <c r="B92" s="215" t="s">
        <v>6</v>
      </c>
      <c r="C92" s="216"/>
      <c r="D92" s="216"/>
      <c r="E92" s="216"/>
      <c r="F92" s="216"/>
      <c r="G92" s="216"/>
      <c r="H92" s="216"/>
      <c r="I92" s="216"/>
      <c r="J92" s="216"/>
      <c r="K92" s="217"/>
    </row>
    <row r="93" spans="2:11" x14ac:dyDescent="0.2">
      <c r="B93" s="201" t="s">
        <v>178</v>
      </c>
      <c r="C93" s="202"/>
      <c r="D93" s="202"/>
      <c r="E93" s="202"/>
      <c r="F93" s="202"/>
      <c r="G93" s="202"/>
      <c r="H93" s="202"/>
      <c r="I93" s="202"/>
      <c r="J93" s="202"/>
      <c r="K93" s="203"/>
    </row>
    <row r="94" spans="2:11" x14ac:dyDescent="0.2">
      <c r="B94" s="201" t="s">
        <v>179</v>
      </c>
      <c r="C94" s="202"/>
      <c r="D94" s="202"/>
      <c r="E94" s="202"/>
      <c r="F94" s="202"/>
      <c r="G94" s="202"/>
      <c r="H94" s="202"/>
      <c r="I94" s="202"/>
      <c r="J94" s="202"/>
      <c r="K94" s="203"/>
    </row>
    <row r="95" spans="2:11" x14ac:dyDescent="0.2">
      <c r="B95" s="201" t="s">
        <v>180</v>
      </c>
      <c r="C95" s="202"/>
      <c r="D95" s="202"/>
      <c r="E95" s="202"/>
      <c r="F95" s="202"/>
      <c r="G95" s="202"/>
      <c r="H95" s="202"/>
      <c r="I95" s="202"/>
      <c r="J95" s="202"/>
      <c r="K95" s="203"/>
    </row>
    <row r="96" spans="2:11" ht="13.2" thickBot="1" x14ac:dyDescent="0.25">
      <c r="B96" s="204"/>
      <c r="C96" s="205"/>
      <c r="D96" s="205"/>
      <c r="E96" s="205"/>
      <c r="F96" s="205"/>
      <c r="G96" s="205"/>
      <c r="H96" s="205"/>
      <c r="I96" s="205"/>
      <c r="J96" s="205"/>
      <c r="K96" s="206"/>
    </row>
    <row r="97" spans="2:11" ht="13.2" thickTop="1" x14ac:dyDescent="0.2"/>
    <row r="101" spans="2:11" x14ac:dyDescent="0.2">
      <c r="B101" s="232"/>
      <c r="C101" s="232"/>
      <c r="D101" s="232"/>
      <c r="E101" s="232"/>
      <c r="F101" s="232"/>
      <c r="G101" s="232"/>
      <c r="H101" s="232"/>
      <c r="I101" s="232"/>
      <c r="J101" s="232"/>
      <c r="K101" s="232"/>
    </row>
    <row r="103" spans="2:11" ht="35.1" customHeight="1" x14ac:dyDescent="0.2">
      <c r="B103" s="232"/>
      <c r="C103" s="232"/>
      <c r="D103" s="232"/>
      <c r="E103" s="232"/>
      <c r="F103" s="232"/>
      <c r="G103" s="232"/>
      <c r="H103" s="232"/>
      <c r="I103" s="232"/>
      <c r="J103" s="232"/>
      <c r="K103" s="232"/>
    </row>
    <row r="104" spans="2:11" ht="37.950000000000003" customHeight="1" x14ac:dyDescent="0.2">
      <c r="B104" s="232"/>
      <c r="C104" s="232"/>
      <c r="D104" s="232"/>
      <c r="E104" s="232"/>
      <c r="F104" s="232"/>
      <c r="G104" s="232"/>
      <c r="H104" s="232"/>
      <c r="I104" s="232"/>
      <c r="J104" s="232"/>
      <c r="K104" s="232"/>
    </row>
    <row r="106" spans="2:11" ht="57.6" customHeight="1" x14ac:dyDescent="0.2">
      <c r="B106" s="232"/>
      <c r="C106" s="232"/>
      <c r="D106" s="232"/>
      <c r="E106" s="232"/>
      <c r="F106" s="232"/>
      <c r="G106" s="232"/>
      <c r="H106" s="232"/>
      <c r="I106" s="232"/>
      <c r="J106" s="232"/>
      <c r="K106" s="232"/>
    </row>
    <row r="108" spans="2:11" ht="29.4" customHeight="1" x14ac:dyDescent="0.2">
      <c r="B108" s="232"/>
      <c r="C108" s="232"/>
      <c r="D108" s="232"/>
      <c r="E108" s="232"/>
      <c r="F108" s="232"/>
      <c r="G108" s="232"/>
      <c r="H108" s="232"/>
      <c r="I108" s="232"/>
      <c r="J108" s="232"/>
      <c r="K108" s="232"/>
    </row>
    <row r="110" spans="2:11" ht="36.6" customHeight="1" x14ac:dyDescent="0.2">
      <c r="B110" s="232"/>
      <c r="C110" s="232"/>
      <c r="D110" s="232"/>
      <c r="E110" s="232"/>
      <c r="F110" s="232"/>
      <c r="G110" s="232"/>
      <c r="H110" s="232"/>
      <c r="I110" s="232"/>
      <c r="J110" s="232"/>
      <c r="K110" s="232"/>
    </row>
  </sheetData>
  <mergeCells count="31">
    <mergeCell ref="B68:K68"/>
    <mergeCell ref="B69:K69"/>
    <mergeCell ref="B56:K56"/>
    <mergeCell ref="B58:K58"/>
    <mergeCell ref="B26:K35"/>
    <mergeCell ref="B38:K44"/>
    <mergeCell ref="B47:K47"/>
    <mergeCell ref="B37:K37"/>
    <mergeCell ref="B54:K54"/>
    <mergeCell ref="B63:K63"/>
    <mergeCell ref="B2:K2"/>
    <mergeCell ref="B19:K19"/>
    <mergeCell ref="B20:K23"/>
    <mergeCell ref="B25:K25"/>
    <mergeCell ref="C14:K16"/>
    <mergeCell ref="B4:K4"/>
    <mergeCell ref="B110:K110"/>
    <mergeCell ref="B90:K90"/>
    <mergeCell ref="B101:K101"/>
    <mergeCell ref="B103:K103"/>
    <mergeCell ref="B104:K104"/>
    <mergeCell ref="B106:K106"/>
    <mergeCell ref="B108:K108"/>
    <mergeCell ref="B92:K92"/>
    <mergeCell ref="B73:K73"/>
    <mergeCell ref="B76:K76"/>
    <mergeCell ref="B78:K78"/>
    <mergeCell ref="B82:K82"/>
    <mergeCell ref="B86:K86"/>
    <mergeCell ref="B74:K74"/>
    <mergeCell ref="B80:K80"/>
  </mergeCells>
  <phoneticPr fontId="4" type="noConversion"/>
  <hyperlinks>
    <hyperlink ref="B89" r:id="rId1" display="- Hospidiag : https://hospidiag.atih.sante.fr" xr:uid="{ED0BB25F-3679-43D7-93FF-90347CBB9266}"/>
    <hyperlink ref="B88" r:id="rId2" xr:uid="{708513F5-1D65-421F-B136-5D5EFF60E7B6}"/>
    <hyperlink ref="B87" r:id="rId3" xr:uid="{DF3954C1-88F4-478B-9FF1-5DCF2C3D0EE6}"/>
  </hyperlinks>
  <pageMargins left="0.7" right="0.7" top="0.75" bottom="0.75" header="0.3" footer="0.3"/>
  <pageSetup paperSize="9" scale="68"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2:N124"/>
  <sheetViews>
    <sheetView showGridLines="0" workbookViewId="0">
      <selection activeCell="C23" sqref="C23"/>
    </sheetView>
  </sheetViews>
  <sheetFormatPr baseColWidth="10" defaultColWidth="10.36328125" defaultRowHeight="11.4" x14ac:dyDescent="0.2"/>
  <cols>
    <col min="1" max="1" width="33.453125" style="3" bestFit="1" customWidth="1"/>
    <col min="2" max="2" width="3.36328125" style="2" bestFit="1" customWidth="1"/>
    <col min="3" max="3" width="49.08984375" style="3" bestFit="1" customWidth="1"/>
    <col min="4" max="4" width="12.453125" style="3" bestFit="1" customWidth="1"/>
    <col min="5" max="7" width="11.08984375" style="4" customWidth="1"/>
    <col min="8" max="8" width="12.26953125" style="3" bestFit="1" customWidth="1"/>
    <col min="9" max="9" width="10.36328125" style="3"/>
    <col min="10" max="10" width="12.90625" style="3" customWidth="1"/>
    <col min="11" max="16384" width="10.36328125" style="3"/>
  </cols>
  <sheetData>
    <row r="2" spans="1:14" ht="12.6" x14ac:dyDescent="0.2">
      <c r="A2" s="1" t="s">
        <v>28</v>
      </c>
    </row>
    <row r="3" spans="1:14" s="158" customFormat="1" x14ac:dyDescent="0.2">
      <c r="B3" s="2"/>
      <c r="D3" s="5">
        <v>9361</v>
      </c>
      <c r="E3" s="6">
        <v>9362</v>
      </c>
      <c r="F3" s="6">
        <v>9364</v>
      </c>
      <c r="G3" s="6">
        <v>9365</v>
      </c>
      <c r="H3" s="5">
        <v>9367</v>
      </c>
      <c r="J3" s="265" t="s">
        <v>151</v>
      </c>
    </row>
    <row r="4" spans="1:14" s="158" customFormat="1" ht="34.200000000000003" x14ac:dyDescent="0.2">
      <c r="A4" s="7" t="s">
        <v>29</v>
      </c>
      <c r="B4" s="8"/>
      <c r="C4" s="9"/>
      <c r="D4" s="5" t="s">
        <v>130</v>
      </c>
      <c r="E4" s="6" t="s">
        <v>131</v>
      </c>
      <c r="F4" s="6" t="s">
        <v>134</v>
      </c>
      <c r="G4" s="6" t="s">
        <v>132</v>
      </c>
      <c r="H4" s="5" t="s">
        <v>133</v>
      </c>
      <c r="J4" s="266"/>
      <c r="N4" s="158" t="s">
        <v>130</v>
      </c>
    </row>
    <row r="5" spans="1:14" x14ac:dyDescent="0.2">
      <c r="A5" s="10"/>
      <c r="B5" s="8">
        <v>2</v>
      </c>
      <c r="C5" s="11" t="s">
        <v>30</v>
      </c>
      <c r="D5" s="12">
        <f>SUM(D6,D10)</f>
        <v>656693.46</v>
      </c>
      <c r="E5" s="13">
        <f t="shared" ref="E5:H5" si="0">SUM(E6,E10)</f>
        <v>373857.51</v>
      </c>
      <c r="F5" s="13">
        <f t="shared" si="0"/>
        <v>101362.22</v>
      </c>
      <c r="G5" s="13">
        <f t="shared" si="0"/>
        <v>295584.26</v>
      </c>
      <c r="H5" s="12">
        <f t="shared" si="0"/>
        <v>172507.72999999998</v>
      </c>
      <c r="J5" s="12">
        <f t="shared" ref="J5" si="1">SUM(J6,J10)</f>
        <v>1600005.1800000002</v>
      </c>
      <c r="N5" s="3" t="s">
        <v>131</v>
      </c>
    </row>
    <row r="6" spans="1:14" x14ac:dyDescent="0.2">
      <c r="A6" s="10"/>
      <c r="B6" s="8">
        <v>3</v>
      </c>
      <c r="C6" s="14" t="s">
        <v>31</v>
      </c>
      <c r="D6" s="15">
        <f>SUM(D7:D9)</f>
        <v>312519.43</v>
      </c>
      <c r="E6" s="16">
        <f t="shared" ref="E6:H6" si="2">SUM(E7:E9)</f>
        <v>38161.870000000003</v>
      </c>
      <c r="F6" s="16">
        <f t="shared" si="2"/>
        <v>0</v>
      </c>
      <c r="G6" s="16">
        <f t="shared" si="2"/>
        <v>136805.5</v>
      </c>
      <c r="H6" s="15">
        <f t="shared" si="2"/>
        <v>38102.11</v>
      </c>
      <c r="J6" s="15">
        <f t="shared" ref="J6" si="3">SUM(J7:J9)</f>
        <v>525588.91</v>
      </c>
      <c r="N6" s="3" t="s">
        <v>134</v>
      </c>
    </row>
    <row r="7" spans="1:14" x14ac:dyDescent="0.2">
      <c r="A7" s="10" t="s">
        <v>32</v>
      </c>
      <c r="B7" s="8">
        <v>4</v>
      </c>
      <c r="C7" s="17" t="s">
        <v>33</v>
      </c>
      <c r="D7" s="18"/>
      <c r="E7" s="19"/>
      <c r="F7" s="19"/>
      <c r="G7" s="19"/>
      <c r="H7" s="18"/>
      <c r="J7" s="18">
        <f>SUM(D7:H7)</f>
        <v>0</v>
      </c>
      <c r="N7" s="3" t="s">
        <v>132</v>
      </c>
    </row>
    <row r="8" spans="1:14" x14ac:dyDescent="0.2">
      <c r="A8" s="10" t="s">
        <v>32</v>
      </c>
      <c r="B8" s="8">
        <v>5</v>
      </c>
      <c r="C8" s="17" t="s">
        <v>34</v>
      </c>
      <c r="D8" s="18">
        <v>312519.43</v>
      </c>
      <c r="E8" s="19">
        <v>38161.870000000003</v>
      </c>
      <c r="F8" s="19"/>
      <c r="G8" s="19">
        <v>136805.5</v>
      </c>
      <c r="H8" s="18">
        <v>38102.11</v>
      </c>
      <c r="J8" s="18">
        <f t="shared" ref="J8:J14" si="4">SUM(D8:H8)</f>
        <v>525588.91</v>
      </c>
      <c r="N8" s="3" t="s">
        <v>133</v>
      </c>
    </row>
    <row r="9" spans="1:14" x14ac:dyDescent="0.2">
      <c r="A9" s="10" t="s">
        <v>32</v>
      </c>
      <c r="B9" s="8">
        <v>6</v>
      </c>
      <c r="C9" s="17" t="s">
        <v>35</v>
      </c>
      <c r="D9" s="18"/>
      <c r="E9" s="19"/>
      <c r="F9" s="19"/>
      <c r="G9" s="19"/>
      <c r="H9" s="18"/>
      <c r="J9" s="18">
        <f t="shared" si="4"/>
        <v>0</v>
      </c>
    </row>
    <row r="10" spans="1:14" x14ac:dyDescent="0.2">
      <c r="A10" s="10"/>
      <c r="B10" s="8">
        <v>7</v>
      </c>
      <c r="C10" s="14" t="s">
        <v>36</v>
      </c>
      <c r="D10" s="15">
        <f>SUM(D11:D14)</f>
        <v>344174.03</v>
      </c>
      <c r="E10" s="16">
        <f t="shared" ref="E10:H10" si="5">SUM(E11:E14)</f>
        <v>335695.64</v>
      </c>
      <c r="F10" s="16">
        <f t="shared" si="5"/>
        <v>101362.22</v>
      </c>
      <c r="G10" s="16">
        <f t="shared" si="5"/>
        <v>158778.76</v>
      </c>
      <c r="H10" s="15">
        <f t="shared" si="5"/>
        <v>134405.62</v>
      </c>
      <c r="J10" s="15">
        <f t="shared" ref="J10" si="6">SUM(J11:J14)</f>
        <v>1074416.27</v>
      </c>
    </row>
    <row r="11" spans="1:14" x14ac:dyDescent="0.2">
      <c r="A11" s="10" t="s">
        <v>32</v>
      </c>
      <c r="B11" s="8">
        <v>8</v>
      </c>
      <c r="C11" s="17" t="s">
        <v>37</v>
      </c>
      <c r="D11" s="18"/>
      <c r="E11" s="19"/>
      <c r="F11" s="19"/>
      <c r="G11" s="19"/>
      <c r="H11" s="18"/>
      <c r="J11" s="18">
        <f t="shared" si="4"/>
        <v>0</v>
      </c>
    </row>
    <row r="12" spans="1:14" x14ac:dyDescent="0.2">
      <c r="A12" s="10" t="s">
        <v>32</v>
      </c>
      <c r="B12" s="8">
        <v>9</v>
      </c>
      <c r="C12" s="17" t="s">
        <v>38</v>
      </c>
      <c r="D12" s="18">
        <v>344174.03</v>
      </c>
      <c r="E12" s="19">
        <v>69995.56</v>
      </c>
      <c r="F12" s="19">
        <v>101362.22</v>
      </c>
      <c r="G12" s="19">
        <v>50413.22</v>
      </c>
      <c r="H12" s="18">
        <v>134405.62</v>
      </c>
      <c r="J12" s="18">
        <f t="shared" si="4"/>
        <v>700350.65</v>
      </c>
    </row>
    <row r="13" spans="1:14" x14ac:dyDescent="0.2">
      <c r="A13" s="10" t="s">
        <v>32</v>
      </c>
      <c r="B13" s="8">
        <v>10</v>
      </c>
      <c r="C13" s="17" t="s">
        <v>39</v>
      </c>
      <c r="D13" s="18"/>
      <c r="E13" s="19"/>
      <c r="F13" s="19"/>
      <c r="G13" s="19"/>
      <c r="H13" s="18"/>
      <c r="J13" s="18">
        <f t="shared" si="4"/>
        <v>0</v>
      </c>
    </row>
    <row r="14" spans="1:14" x14ac:dyDescent="0.2">
      <c r="A14" s="10" t="s">
        <v>32</v>
      </c>
      <c r="B14" s="8">
        <v>11</v>
      </c>
      <c r="C14" s="17" t="s">
        <v>40</v>
      </c>
      <c r="D14" s="18"/>
      <c r="E14" s="19">
        <v>265700.08</v>
      </c>
      <c r="F14" s="19"/>
      <c r="G14" s="19">
        <v>108365.54</v>
      </c>
      <c r="H14" s="18"/>
      <c r="J14" s="18">
        <f t="shared" si="4"/>
        <v>374065.62</v>
      </c>
    </row>
    <row r="15" spans="1:14" x14ac:dyDescent="0.2">
      <c r="A15" s="10"/>
      <c r="B15" s="8">
        <v>12</v>
      </c>
      <c r="C15" s="20" t="s">
        <v>41</v>
      </c>
      <c r="D15" s="15">
        <f>SUM(D12,D14)</f>
        <v>344174.03</v>
      </c>
      <c r="E15" s="16">
        <f t="shared" ref="E15:H15" si="7">SUM(E12,E14)</f>
        <v>335695.64</v>
      </c>
      <c r="F15" s="16">
        <f t="shared" si="7"/>
        <v>101362.22</v>
      </c>
      <c r="G15" s="16">
        <f t="shared" si="7"/>
        <v>158778.76</v>
      </c>
      <c r="H15" s="15">
        <f t="shared" si="7"/>
        <v>134405.62</v>
      </c>
      <c r="J15" s="15">
        <f t="shared" ref="J15" si="8">SUM(J12,J14)</f>
        <v>1074416.27</v>
      </c>
    </row>
    <row r="16" spans="1:14" x14ac:dyDescent="0.2">
      <c r="A16" s="10"/>
      <c r="B16" s="8">
        <v>13</v>
      </c>
      <c r="C16" s="20" t="s">
        <v>42</v>
      </c>
      <c r="D16" s="15">
        <f>SUM(D11,D13)</f>
        <v>0</v>
      </c>
      <c r="E16" s="16">
        <f t="shared" ref="E16:H16" si="9">SUM(E11,E13)</f>
        <v>0</v>
      </c>
      <c r="F16" s="16">
        <f t="shared" si="9"/>
        <v>0</v>
      </c>
      <c r="G16" s="16">
        <f t="shared" si="9"/>
        <v>0</v>
      </c>
      <c r="H16" s="15">
        <f t="shared" si="9"/>
        <v>0</v>
      </c>
      <c r="J16" s="15">
        <f t="shared" ref="J16" si="10">SUM(J11,J13)</f>
        <v>0</v>
      </c>
    </row>
    <row r="17" spans="1:10" x14ac:dyDescent="0.2">
      <c r="A17" s="10" t="s">
        <v>32</v>
      </c>
      <c r="B17" s="8">
        <v>14</v>
      </c>
      <c r="C17" s="11" t="s">
        <v>43</v>
      </c>
      <c r="D17" s="18">
        <v>242387.72</v>
      </c>
      <c r="E17" s="19">
        <v>74775.009999999995</v>
      </c>
      <c r="F17" s="19">
        <v>543.28</v>
      </c>
      <c r="G17" s="19">
        <v>1735.81</v>
      </c>
      <c r="H17" s="18">
        <v>6915.6</v>
      </c>
      <c r="J17" s="18">
        <f t="shared" ref="J17:J28" si="11">SUM(D17:H17)</f>
        <v>326357.42</v>
      </c>
    </row>
    <row r="18" spans="1:10" x14ac:dyDescent="0.2">
      <c r="A18" s="10" t="s">
        <v>32</v>
      </c>
      <c r="B18" s="8">
        <v>15</v>
      </c>
      <c r="C18" s="11" t="s">
        <v>44</v>
      </c>
      <c r="D18" s="18">
        <v>0</v>
      </c>
      <c r="E18" s="19">
        <v>189.76</v>
      </c>
      <c r="F18" s="19">
        <v>84345.42</v>
      </c>
      <c r="G18" s="19">
        <v>0</v>
      </c>
      <c r="H18" s="18">
        <v>0</v>
      </c>
      <c r="J18" s="18">
        <f t="shared" si="11"/>
        <v>84535.18</v>
      </c>
    </row>
    <row r="19" spans="1:10" ht="22.8" x14ac:dyDescent="0.2">
      <c r="A19" s="10" t="s">
        <v>32</v>
      </c>
      <c r="B19" s="8">
        <v>16</v>
      </c>
      <c r="C19" s="11" t="s">
        <v>45</v>
      </c>
      <c r="D19" s="18">
        <v>4850.6099999999997</v>
      </c>
      <c r="E19" s="19">
        <v>23536.97</v>
      </c>
      <c r="F19" s="19">
        <v>2955.78</v>
      </c>
      <c r="G19" s="19">
        <v>385.04</v>
      </c>
      <c r="H19" s="18">
        <v>1211.96</v>
      </c>
      <c r="J19" s="18">
        <f t="shared" si="11"/>
        <v>32940.36</v>
      </c>
    </row>
    <row r="20" spans="1:10" x14ac:dyDescent="0.2">
      <c r="A20" s="10" t="s">
        <v>32</v>
      </c>
      <c r="B20" s="8">
        <v>17</v>
      </c>
      <c r="C20" s="21" t="s">
        <v>46</v>
      </c>
      <c r="D20" s="18"/>
      <c r="E20" s="19"/>
      <c r="F20" s="19"/>
      <c r="G20" s="19"/>
      <c r="H20" s="18"/>
      <c r="J20" s="18">
        <f t="shared" si="11"/>
        <v>0</v>
      </c>
    </row>
    <row r="21" spans="1:10" x14ac:dyDescent="0.2">
      <c r="A21" s="10" t="s">
        <v>32</v>
      </c>
      <c r="B21" s="8">
        <v>18</v>
      </c>
      <c r="C21" s="21" t="s">
        <v>47</v>
      </c>
      <c r="D21" s="18"/>
      <c r="E21" s="19"/>
      <c r="F21" s="19"/>
      <c r="G21" s="19"/>
      <c r="H21" s="18"/>
      <c r="J21" s="18">
        <f t="shared" si="11"/>
        <v>0</v>
      </c>
    </row>
    <row r="22" spans="1:10" x14ac:dyDescent="0.2">
      <c r="A22" s="10" t="s">
        <v>32</v>
      </c>
      <c r="B22" s="8">
        <v>19</v>
      </c>
      <c r="C22" s="21" t="s">
        <v>48</v>
      </c>
      <c r="D22" s="18"/>
      <c r="E22" s="19"/>
      <c r="F22" s="19"/>
      <c r="G22" s="19"/>
      <c r="H22" s="18"/>
      <c r="J22" s="18">
        <f t="shared" si="11"/>
        <v>0</v>
      </c>
    </row>
    <row r="23" spans="1:10" x14ac:dyDescent="0.2">
      <c r="A23" s="10"/>
      <c r="B23" s="8">
        <v>20</v>
      </c>
      <c r="C23" s="22" t="s">
        <v>49</v>
      </c>
      <c r="D23" s="12">
        <f t="shared" ref="D23:H23" si="12">SUM(D5,D17,D18,D19)</f>
        <v>903931.78999999992</v>
      </c>
      <c r="E23" s="13">
        <f t="shared" si="12"/>
        <v>472359.25</v>
      </c>
      <c r="F23" s="13">
        <f t="shared" si="12"/>
        <v>189206.69999999998</v>
      </c>
      <c r="G23" s="13">
        <f t="shared" si="12"/>
        <v>297705.11</v>
      </c>
      <c r="H23" s="12">
        <f t="shared" si="12"/>
        <v>180635.28999999998</v>
      </c>
      <c r="J23" s="12">
        <f t="shared" ref="J23" si="13">SUM(J5,J17,J18,J19)</f>
        <v>2043838.1400000001</v>
      </c>
    </row>
    <row r="24" spans="1:10" x14ac:dyDescent="0.2">
      <c r="A24" s="10" t="s">
        <v>32</v>
      </c>
      <c r="B24" s="8">
        <v>21</v>
      </c>
      <c r="C24" s="21" t="s">
        <v>50</v>
      </c>
      <c r="D24" s="18">
        <v>29487.38</v>
      </c>
      <c r="E24" s="19">
        <v>0</v>
      </c>
      <c r="F24" s="19">
        <v>0</v>
      </c>
      <c r="G24" s="19">
        <v>282.7</v>
      </c>
      <c r="H24" s="18">
        <v>0</v>
      </c>
      <c r="J24" s="18">
        <f t="shared" si="11"/>
        <v>29770.080000000002</v>
      </c>
    </row>
    <row r="25" spans="1:10" ht="22.8" x14ac:dyDescent="0.2">
      <c r="A25" s="10" t="s">
        <v>32</v>
      </c>
      <c r="B25" s="8">
        <v>22</v>
      </c>
      <c r="C25" s="21" t="s">
        <v>51</v>
      </c>
      <c r="D25" s="18">
        <v>881.79</v>
      </c>
      <c r="E25" s="19"/>
      <c r="F25" s="19"/>
      <c r="G25" s="19"/>
      <c r="H25" s="18"/>
      <c r="J25" s="18">
        <f t="shared" si="11"/>
        <v>881.79</v>
      </c>
    </row>
    <row r="26" spans="1:10" ht="22.8" x14ac:dyDescent="0.2">
      <c r="A26" s="10" t="s">
        <v>32</v>
      </c>
      <c r="B26" s="8">
        <v>23</v>
      </c>
      <c r="C26" s="21" t="s">
        <v>52</v>
      </c>
      <c r="D26" s="18"/>
      <c r="E26" s="19"/>
      <c r="F26" s="19"/>
      <c r="G26" s="19"/>
      <c r="H26" s="18"/>
      <c r="J26" s="18">
        <f t="shared" si="11"/>
        <v>0</v>
      </c>
    </row>
    <row r="27" spans="1:10" ht="22.8" x14ac:dyDescent="0.2">
      <c r="A27" s="10" t="s">
        <v>32</v>
      </c>
      <c r="B27" s="8">
        <v>24</v>
      </c>
      <c r="C27" s="21" t="s">
        <v>53</v>
      </c>
      <c r="D27" s="18"/>
      <c r="E27" s="19">
        <v>2212.12</v>
      </c>
      <c r="F27" s="19"/>
      <c r="G27" s="19"/>
      <c r="H27" s="18"/>
      <c r="J27" s="18">
        <f t="shared" si="11"/>
        <v>2212.12</v>
      </c>
    </row>
    <row r="28" spans="1:10" ht="22.8" x14ac:dyDescent="0.2">
      <c r="A28" s="10" t="s">
        <v>32</v>
      </c>
      <c r="B28" s="8">
        <v>25</v>
      </c>
      <c r="C28" s="21" t="s">
        <v>54</v>
      </c>
      <c r="D28" s="18">
        <v>6472.8</v>
      </c>
      <c r="E28" s="19"/>
      <c r="F28" s="19"/>
      <c r="G28" s="19"/>
      <c r="H28" s="18"/>
      <c r="J28" s="18">
        <f t="shared" si="11"/>
        <v>6472.8</v>
      </c>
    </row>
    <row r="29" spans="1:10" x14ac:dyDescent="0.2">
      <c r="A29" s="10"/>
      <c r="B29" s="8">
        <v>26</v>
      </c>
      <c r="C29" s="22" t="s">
        <v>55</v>
      </c>
      <c r="D29" s="12">
        <f>SUM(D24:D28)</f>
        <v>36841.97</v>
      </c>
      <c r="E29" s="13">
        <f t="shared" ref="E29:H29" si="14">SUM(E24:E28)</f>
        <v>2212.12</v>
      </c>
      <c r="F29" s="13">
        <f t="shared" si="14"/>
        <v>0</v>
      </c>
      <c r="G29" s="13">
        <f t="shared" si="14"/>
        <v>282.7</v>
      </c>
      <c r="H29" s="12">
        <f t="shared" si="14"/>
        <v>0</v>
      </c>
      <c r="J29" s="12">
        <f t="shared" ref="J29" si="15">SUM(J24:J28)</f>
        <v>39336.790000000008</v>
      </c>
    </row>
    <row r="30" spans="1:10" x14ac:dyDescent="0.2">
      <c r="A30" s="10"/>
      <c r="B30" s="8">
        <v>27</v>
      </c>
      <c r="C30" s="22" t="s">
        <v>56</v>
      </c>
      <c r="D30" s="12">
        <f>D23-D29</f>
        <v>867089.82</v>
      </c>
      <c r="E30" s="13">
        <f t="shared" ref="E30:H30" si="16">E23-E29</f>
        <v>470147.13</v>
      </c>
      <c r="F30" s="13">
        <f t="shared" si="16"/>
        <v>189206.69999999998</v>
      </c>
      <c r="G30" s="13">
        <f t="shared" si="16"/>
        <v>297422.40999999997</v>
      </c>
      <c r="H30" s="12">
        <f t="shared" si="16"/>
        <v>180635.28999999998</v>
      </c>
      <c r="J30" s="12">
        <f t="shared" ref="J30" si="17">J23-J29</f>
        <v>2004501.35</v>
      </c>
    </row>
    <row r="31" spans="1:10" x14ac:dyDescent="0.2">
      <c r="A31" s="10" t="s">
        <v>32</v>
      </c>
      <c r="B31" s="8">
        <v>28</v>
      </c>
      <c r="C31" s="23" t="s">
        <v>57</v>
      </c>
      <c r="D31" s="24">
        <v>87236.96</v>
      </c>
      <c r="E31" s="25">
        <v>0</v>
      </c>
      <c r="F31" s="25">
        <v>0</v>
      </c>
      <c r="G31" s="25">
        <v>32120.41</v>
      </c>
      <c r="H31" s="24">
        <v>0</v>
      </c>
      <c r="J31" s="24">
        <f t="shared" ref="J31" si="18">SUM(D31:H31)</f>
        <v>119357.37000000001</v>
      </c>
    </row>
    <row r="32" spans="1:10" ht="68.400000000000006" x14ac:dyDescent="0.2">
      <c r="A32" s="10"/>
      <c r="B32" s="8">
        <v>29</v>
      </c>
      <c r="C32" s="26" t="s">
        <v>58</v>
      </c>
      <c r="D32" s="27" t="s">
        <v>135</v>
      </c>
      <c r="E32" s="28" t="s">
        <v>136</v>
      </c>
      <c r="F32" s="28" t="s">
        <v>137</v>
      </c>
      <c r="G32" s="28" t="s">
        <v>138</v>
      </c>
      <c r="H32" s="27" t="s">
        <v>59</v>
      </c>
      <c r="J32" s="27"/>
    </row>
    <row r="33" spans="1:10" ht="68.400000000000006" x14ac:dyDescent="0.2">
      <c r="A33" s="10" t="s">
        <v>32</v>
      </c>
      <c r="B33" s="8">
        <v>30</v>
      </c>
      <c r="C33" s="29" t="s">
        <v>60</v>
      </c>
      <c r="D33" s="30" t="s">
        <v>135</v>
      </c>
      <c r="E33" s="31" t="s">
        <v>136</v>
      </c>
      <c r="F33" s="31" t="s">
        <v>137</v>
      </c>
      <c r="G33" s="31" t="s">
        <v>138</v>
      </c>
      <c r="H33" s="30" t="s">
        <v>59</v>
      </c>
      <c r="J33" s="30"/>
    </row>
    <row r="34" spans="1:10" ht="63.45" customHeight="1" x14ac:dyDescent="0.2">
      <c r="A34" s="10" t="s">
        <v>32</v>
      </c>
      <c r="B34" s="8">
        <v>31</v>
      </c>
      <c r="C34" s="29" t="s">
        <v>61</v>
      </c>
      <c r="D34" s="32" t="s">
        <v>62</v>
      </c>
      <c r="E34" s="33" t="s">
        <v>62</v>
      </c>
      <c r="F34" s="33" t="s">
        <v>62</v>
      </c>
      <c r="G34" s="33" t="s">
        <v>62</v>
      </c>
      <c r="H34" s="32" t="s">
        <v>62</v>
      </c>
      <c r="J34" s="34"/>
    </row>
    <row r="35" spans="1:10" x14ac:dyDescent="0.2">
      <c r="A35" s="10" t="s">
        <v>32</v>
      </c>
      <c r="B35" s="8">
        <v>32</v>
      </c>
      <c r="C35" s="29" t="s">
        <v>63</v>
      </c>
      <c r="D35" s="35">
        <v>802230</v>
      </c>
      <c r="E35" s="36">
        <v>1919825</v>
      </c>
      <c r="F35" s="36">
        <v>1293</v>
      </c>
      <c r="G35" s="36">
        <v>6664894.2599999998</v>
      </c>
      <c r="H35" s="37">
        <v>60640348.109999999</v>
      </c>
      <c r="J35" s="37"/>
    </row>
    <row r="36" spans="1:10" x14ac:dyDescent="0.2">
      <c r="A36" s="10"/>
      <c r="B36" s="8">
        <v>33</v>
      </c>
      <c r="C36" s="23" t="s">
        <v>64</v>
      </c>
      <c r="D36" s="38">
        <f>IFERROR(D30/D35,"")</f>
        <v>1.0808494072772148</v>
      </c>
      <c r="E36" s="39">
        <f t="shared" ref="E36:H36" si="19">IFERROR(E30/E35,"")</f>
        <v>0.2448906176344198</v>
      </c>
      <c r="F36" s="39">
        <f t="shared" si="19"/>
        <v>146.33155452436193</v>
      </c>
      <c r="G36" s="39">
        <f t="shared" si="19"/>
        <v>4.4625225607105128E-2</v>
      </c>
      <c r="H36" s="38">
        <f t="shared" si="19"/>
        <v>2.9787970489933914E-3</v>
      </c>
      <c r="J36" s="38" t="str">
        <f t="shared" ref="J36" si="20">IFERROR(J30/J35,"")</f>
        <v/>
      </c>
    </row>
    <row r="37" spans="1:10" ht="34.200000000000003" x14ac:dyDescent="0.2">
      <c r="A37" s="10"/>
      <c r="B37" s="8">
        <v>34</v>
      </c>
      <c r="C37" s="22" t="s">
        <v>65</v>
      </c>
      <c r="D37" s="40">
        <f>IFERROR(D23/D35,"")</f>
        <v>1.1267738553781335</v>
      </c>
      <c r="E37" s="41">
        <f t="shared" ref="E37:H37" si="21">IFERROR(E23/E35,"")</f>
        <v>0.24604286849061763</v>
      </c>
      <c r="F37" s="41">
        <f t="shared" si="21"/>
        <v>146.33155452436193</v>
      </c>
      <c r="G37" s="41">
        <f t="shared" si="21"/>
        <v>4.4667641883938902E-2</v>
      </c>
      <c r="H37" s="40">
        <f t="shared" si="21"/>
        <v>2.9787970489933914E-3</v>
      </c>
      <c r="J37" s="40" t="str">
        <f t="shared" ref="J37" si="22">IFERROR(J23/J35,"")</f>
        <v/>
      </c>
    </row>
    <row r="38" spans="1:10" x14ac:dyDescent="0.2">
      <c r="A38" s="10" t="s">
        <v>66</v>
      </c>
      <c r="B38" s="8">
        <v>35</v>
      </c>
      <c r="C38" s="42" t="s">
        <v>67</v>
      </c>
      <c r="D38" s="43">
        <v>1.2956971493</v>
      </c>
      <c r="E38" s="44">
        <v>0.29616313109999998</v>
      </c>
      <c r="F38" s="44">
        <v>112.05925885000001</v>
      </c>
      <c r="G38" s="44">
        <v>2.9726126499999998E-2</v>
      </c>
      <c r="H38" s="43" t="s">
        <v>140</v>
      </c>
      <c r="J38" s="43"/>
    </row>
    <row r="39" spans="1:10" x14ac:dyDescent="0.2">
      <c r="A39" s="10" t="s">
        <v>68</v>
      </c>
      <c r="B39" s="8">
        <v>36</v>
      </c>
      <c r="C39" s="42" t="s">
        <v>69</v>
      </c>
      <c r="D39" s="45">
        <v>118714.97295</v>
      </c>
      <c r="E39" s="46">
        <v>121293.26151</v>
      </c>
      <c r="F39" s="46" t="s">
        <v>140</v>
      </c>
      <c r="G39" s="46">
        <v>124450.82021000001</v>
      </c>
      <c r="H39" s="45" t="s">
        <v>140</v>
      </c>
      <c r="J39" s="45"/>
    </row>
    <row r="40" spans="1:10" x14ac:dyDescent="0.2">
      <c r="A40" s="10" t="s">
        <v>68</v>
      </c>
      <c r="B40" s="8">
        <v>37</v>
      </c>
      <c r="C40" s="42" t="s">
        <v>70</v>
      </c>
      <c r="D40" s="47">
        <v>43501.267110000001</v>
      </c>
      <c r="E40" s="48">
        <v>43296.158378</v>
      </c>
      <c r="F40" s="48">
        <v>54194.994014000004</v>
      </c>
      <c r="G40" s="48">
        <v>52351.451657999998</v>
      </c>
      <c r="H40" s="47" t="s">
        <v>140</v>
      </c>
      <c r="J40" s="47"/>
    </row>
    <row r="41" spans="1:10" x14ac:dyDescent="0.2">
      <c r="A41" s="10"/>
      <c r="B41" s="8">
        <v>38</v>
      </c>
    </row>
    <row r="42" spans="1:10" x14ac:dyDescent="0.2">
      <c r="A42" s="10"/>
      <c r="B42" s="8">
        <v>39</v>
      </c>
      <c r="C42" s="17"/>
    </row>
    <row r="43" spans="1:10" x14ac:dyDescent="0.2">
      <c r="A43" s="10" t="s">
        <v>32</v>
      </c>
      <c r="B43" s="8">
        <v>40</v>
      </c>
      <c r="C43" s="17" t="s">
        <v>71</v>
      </c>
      <c r="D43" s="49">
        <v>311637.64</v>
      </c>
      <c r="E43" s="50">
        <v>38161.870000000003</v>
      </c>
      <c r="F43" s="50">
        <v>0</v>
      </c>
      <c r="G43" s="50">
        <v>136805.5</v>
      </c>
      <c r="H43" s="49">
        <v>38102.11</v>
      </c>
      <c r="J43" s="49"/>
    </row>
    <row r="44" spans="1:10" x14ac:dyDescent="0.2">
      <c r="A44" s="10" t="s">
        <v>32</v>
      </c>
      <c r="B44" s="8">
        <v>41</v>
      </c>
      <c r="C44" s="17" t="s">
        <v>72</v>
      </c>
      <c r="D44" s="51">
        <v>2.8475000000000001</v>
      </c>
      <c r="E44" s="52">
        <v>0.29820000000000002</v>
      </c>
      <c r="F44" s="52" t="s">
        <v>140</v>
      </c>
      <c r="G44" s="52">
        <v>1.0464</v>
      </c>
      <c r="H44" s="51">
        <v>0.3</v>
      </c>
      <c r="J44" s="51">
        <f>SUM(D44:H44)</f>
        <v>4.4920999999999998</v>
      </c>
    </row>
    <row r="45" spans="1:10" ht="22.8" x14ac:dyDescent="0.2">
      <c r="A45" s="10" t="s">
        <v>32</v>
      </c>
      <c r="B45" s="8">
        <v>42</v>
      </c>
      <c r="C45" s="53" t="s">
        <v>73</v>
      </c>
      <c r="D45" s="54">
        <v>109442.5426</v>
      </c>
      <c r="E45" s="55">
        <v>127974.0778</v>
      </c>
      <c r="F45" s="55" t="s">
        <v>140</v>
      </c>
      <c r="G45" s="55">
        <v>130739.20110000001</v>
      </c>
      <c r="H45" s="54">
        <v>127007.0333</v>
      </c>
      <c r="J45" s="54"/>
    </row>
    <row r="46" spans="1:10" x14ac:dyDescent="0.2">
      <c r="A46" s="10"/>
      <c r="B46" s="8">
        <v>43</v>
      </c>
    </row>
    <row r="47" spans="1:10" x14ac:dyDescent="0.2">
      <c r="A47" s="10" t="s">
        <v>32</v>
      </c>
      <c r="B47" s="8">
        <v>44</v>
      </c>
      <c r="C47" s="17" t="s">
        <v>74</v>
      </c>
      <c r="D47" s="49"/>
      <c r="E47" s="50"/>
      <c r="F47" s="50"/>
      <c r="G47" s="50"/>
      <c r="H47" s="49"/>
      <c r="J47" s="49"/>
    </row>
    <row r="48" spans="1:10" x14ac:dyDescent="0.2">
      <c r="A48" s="10" t="s">
        <v>32</v>
      </c>
      <c r="B48" s="8">
        <v>45</v>
      </c>
      <c r="C48" s="17" t="s">
        <v>75</v>
      </c>
      <c r="D48" s="51"/>
      <c r="E48" s="52"/>
      <c r="F48" s="52"/>
      <c r="G48" s="52"/>
      <c r="H48" s="51"/>
      <c r="J48" s="51"/>
    </row>
    <row r="49" spans="1:10" x14ac:dyDescent="0.2">
      <c r="A49" s="10" t="s">
        <v>32</v>
      </c>
      <c r="B49" s="8">
        <v>46</v>
      </c>
      <c r="C49" s="53" t="s">
        <v>76</v>
      </c>
      <c r="D49" s="54"/>
      <c r="E49" s="55"/>
      <c r="F49" s="55"/>
      <c r="G49" s="55"/>
      <c r="H49" s="54"/>
      <c r="J49" s="54"/>
    </row>
    <row r="50" spans="1:10" x14ac:dyDescent="0.2">
      <c r="A50" s="10"/>
      <c r="B50" s="8">
        <v>47</v>
      </c>
    </row>
    <row r="51" spans="1:10" x14ac:dyDescent="0.2">
      <c r="A51" s="10" t="s">
        <v>32</v>
      </c>
      <c r="B51" s="8">
        <v>48</v>
      </c>
      <c r="C51" s="17" t="s">
        <v>77</v>
      </c>
      <c r="D51" s="49">
        <v>0</v>
      </c>
      <c r="E51" s="50">
        <v>263487.96000000002</v>
      </c>
      <c r="F51" s="50">
        <v>0</v>
      </c>
      <c r="G51" s="50">
        <v>108365.54</v>
      </c>
      <c r="H51" s="49">
        <v>0</v>
      </c>
      <c r="J51" s="49"/>
    </row>
    <row r="52" spans="1:10" x14ac:dyDescent="0.2">
      <c r="A52" s="10" t="s">
        <v>32</v>
      </c>
      <c r="B52" s="8">
        <v>49</v>
      </c>
      <c r="C52" s="17" t="s">
        <v>78</v>
      </c>
      <c r="D52" s="51">
        <v>0</v>
      </c>
      <c r="E52" s="52">
        <v>6.28</v>
      </c>
      <c r="F52" s="52">
        <v>0</v>
      </c>
      <c r="G52" s="52">
        <v>1.71</v>
      </c>
      <c r="H52" s="51">
        <v>0</v>
      </c>
      <c r="J52" s="51">
        <f>SUM(D52:H52)</f>
        <v>7.99</v>
      </c>
    </row>
    <row r="53" spans="1:10" x14ac:dyDescent="0.2">
      <c r="A53" s="10" t="s">
        <v>32</v>
      </c>
      <c r="B53" s="8">
        <v>50</v>
      </c>
      <c r="C53" s="56" t="s">
        <v>79</v>
      </c>
      <c r="D53" s="54" t="s">
        <v>140</v>
      </c>
      <c r="E53" s="55">
        <v>41956.681499999999</v>
      </c>
      <c r="F53" s="55" t="s">
        <v>140</v>
      </c>
      <c r="G53" s="55">
        <v>63371.660799999998</v>
      </c>
      <c r="H53" s="54" t="s">
        <v>140</v>
      </c>
      <c r="J53" s="54"/>
    </row>
    <row r="54" spans="1:10" x14ac:dyDescent="0.2">
      <c r="A54" s="10"/>
      <c r="B54" s="8">
        <v>51</v>
      </c>
    </row>
    <row r="55" spans="1:10" x14ac:dyDescent="0.2">
      <c r="A55" s="10" t="s">
        <v>32</v>
      </c>
      <c r="B55" s="8">
        <v>52</v>
      </c>
      <c r="C55" s="17" t="s">
        <v>80</v>
      </c>
      <c r="D55" s="49">
        <v>337701.23</v>
      </c>
      <c r="E55" s="50">
        <v>69995.56</v>
      </c>
      <c r="F55" s="50">
        <v>101362.22</v>
      </c>
      <c r="G55" s="50">
        <v>50413.22</v>
      </c>
      <c r="H55" s="49">
        <v>134405.62</v>
      </c>
      <c r="J55" s="49"/>
    </row>
    <row r="56" spans="1:10" x14ac:dyDescent="0.2">
      <c r="A56" s="10" t="s">
        <v>32</v>
      </c>
      <c r="B56" s="8">
        <v>53</v>
      </c>
      <c r="C56" s="17" t="s">
        <v>81</v>
      </c>
      <c r="D56" s="51">
        <v>8.01</v>
      </c>
      <c r="E56" s="52">
        <v>1</v>
      </c>
      <c r="F56" s="52">
        <v>1.88</v>
      </c>
      <c r="G56" s="52">
        <v>1.56</v>
      </c>
      <c r="H56" s="51">
        <v>2.9</v>
      </c>
      <c r="J56" s="51">
        <f>SUM(D56:H56)</f>
        <v>15.350000000000001</v>
      </c>
    </row>
    <row r="57" spans="1:10" x14ac:dyDescent="0.2">
      <c r="A57" s="10" t="s">
        <v>32</v>
      </c>
      <c r="B57" s="8">
        <v>54</v>
      </c>
      <c r="C57" s="56" t="s">
        <v>82</v>
      </c>
      <c r="D57" s="54">
        <v>42159.953800000003</v>
      </c>
      <c r="E57" s="55">
        <v>69995.56</v>
      </c>
      <c r="F57" s="55">
        <v>53916.074500000002</v>
      </c>
      <c r="G57" s="55">
        <v>32316.166700000002</v>
      </c>
      <c r="H57" s="54">
        <v>46346.765500000001</v>
      </c>
      <c r="J57" s="54"/>
    </row>
    <row r="58" spans="1:10" x14ac:dyDescent="0.2">
      <c r="A58" s="10"/>
      <c r="B58" s="8">
        <v>55</v>
      </c>
    </row>
    <row r="59" spans="1:10" x14ac:dyDescent="0.2">
      <c r="A59" s="10" t="s">
        <v>32</v>
      </c>
      <c r="B59" s="8">
        <v>56</v>
      </c>
      <c r="C59" s="17" t="s">
        <v>83</v>
      </c>
      <c r="D59" s="49">
        <v>337701.23</v>
      </c>
      <c r="E59" s="50">
        <v>333483.52000000002</v>
      </c>
      <c r="F59" s="50">
        <v>101362.22</v>
      </c>
      <c r="G59" s="50">
        <v>158778.76</v>
      </c>
      <c r="H59" s="49">
        <v>134405.62</v>
      </c>
      <c r="J59" s="49"/>
    </row>
    <row r="60" spans="1:10" x14ac:dyDescent="0.2">
      <c r="A60" s="10" t="s">
        <v>32</v>
      </c>
      <c r="B60" s="8">
        <v>57</v>
      </c>
      <c r="C60" s="17" t="s">
        <v>84</v>
      </c>
      <c r="D60" s="51">
        <v>8.01</v>
      </c>
      <c r="E60" s="52">
        <v>7.28</v>
      </c>
      <c r="F60" s="52">
        <v>1.88</v>
      </c>
      <c r="G60" s="52">
        <v>3.27</v>
      </c>
      <c r="H60" s="51">
        <v>2.9</v>
      </c>
      <c r="J60" s="51">
        <f>SUM(D60:H60)</f>
        <v>23.339999999999996</v>
      </c>
    </row>
    <row r="61" spans="1:10" x14ac:dyDescent="0.2">
      <c r="A61" s="10" t="s">
        <v>32</v>
      </c>
      <c r="B61" s="8">
        <v>58</v>
      </c>
      <c r="C61" s="56" t="s">
        <v>85</v>
      </c>
      <c r="D61" s="54">
        <v>42159.953800000003</v>
      </c>
      <c r="E61" s="55">
        <v>45808.175799999997</v>
      </c>
      <c r="F61" s="55">
        <v>53916.074500000002</v>
      </c>
      <c r="G61" s="55">
        <v>48556.195699999997</v>
      </c>
      <c r="H61" s="54">
        <v>46346.765500000001</v>
      </c>
      <c r="J61" s="54"/>
    </row>
    <row r="62" spans="1:10" x14ac:dyDescent="0.2">
      <c r="A62" s="10"/>
      <c r="B62" s="8">
        <v>59</v>
      </c>
    </row>
    <row r="63" spans="1:10" x14ac:dyDescent="0.2">
      <c r="A63" s="10"/>
      <c r="B63" s="8">
        <v>60</v>
      </c>
    </row>
    <row r="64" spans="1:10" x14ac:dyDescent="0.2">
      <c r="A64" s="10"/>
      <c r="B64" s="8">
        <v>61</v>
      </c>
    </row>
    <row r="65" spans="1:10" x14ac:dyDescent="0.2">
      <c r="A65" s="10"/>
      <c r="B65" s="8">
        <v>62</v>
      </c>
    </row>
    <row r="66" spans="1:10" x14ac:dyDescent="0.2">
      <c r="A66" s="10"/>
      <c r="B66" s="8">
        <v>63</v>
      </c>
    </row>
    <row r="67" spans="1:10" s="58" customFormat="1" x14ac:dyDescent="0.2">
      <c r="A67" s="57" t="s">
        <v>86</v>
      </c>
      <c r="B67" s="8">
        <v>64</v>
      </c>
      <c r="E67" s="59"/>
      <c r="F67" s="59"/>
      <c r="G67" s="59"/>
    </row>
    <row r="68" spans="1:10" x14ac:dyDescent="0.2">
      <c r="A68" s="10"/>
      <c r="B68" s="8">
        <v>65</v>
      </c>
      <c r="C68" s="11" t="s">
        <v>30</v>
      </c>
      <c r="D68" s="12">
        <f>SUM(D69,D73)</f>
        <v>646077.56000000006</v>
      </c>
      <c r="E68" s="13">
        <f t="shared" ref="E68:H68" si="23">SUM(E69,E73)</f>
        <v>396547.08999999997</v>
      </c>
      <c r="F68" s="13">
        <f t="shared" si="23"/>
        <v>101223.02</v>
      </c>
      <c r="G68" s="13">
        <f t="shared" si="23"/>
        <v>332622.82</v>
      </c>
      <c r="H68" s="12">
        <f t="shared" si="23"/>
        <v>175327.27000000002</v>
      </c>
      <c r="J68" s="12">
        <f t="shared" ref="J68" si="24">SUM(J69,J73)</f>
        <v>1651797.7600000002</v>
      </c>
    </row>
    <row r="69" spans="1:10" x14ac:dyDescent="0.2">
      <c r="A69" s="10"/>
      <c r="B69" s="8">
        <v>66</v>
      </c>
      <c r="C69" s="14" t="s">
        <v>31</v>
      </c>
      <c r="D69" s="15">
        <f>SUM(D70:D72)</f>
        <v>305584.86</v>
      </c>
      <c r="E69" s="16">
        <f t="shared" ref="E69:H69" si="25">SUM(E70:E72)</f>
        <v>37950.22</v>
      </c>
      <c r="F69" s="16">
        <f t="shared" si="25"/>
        <v>0</v>
      </c>
      <c r="G69" s="16">
        <f t="shared" si="25"/>
        <v>155865.54</v>
      </c>
      <c r="H69" s="15">
        <f t="shared" si="25"/>
        <v>44507.199999999997</v>
      </c>
      <c r="J69" s="15">
        <f t="shared" ref="J69" si="26">SUM(J70:J72)</f>
        <v>543907.81999999995</v>
      </c>
    </row>
    <row r="70" spans="1:10" x14ac:dyDescent="0.2">
      <c r="A70" s="10" t="s">
        <v>87</v>
      </c>
      <c r="B70" s="8">
        <v>67</v>
      </c>
      <c r="C70" s="17" t="s">
        <v>33</v>
      </c>
      <c r="D70" s="18"/>
      <c r="E70" s="19"/>
      <c r="F70" s="19"/>
      <c r="G70" s="19"/>
      <c r="H70" s="18"/>
      <c r="J70" s="18">
        <f>SUM(D70:H70)</f>
        <v>0</v>
      </c>
    </row>
    <row r="71" spans="1:10" x14ac:dyDescent="0.2">
      <c r="A71" s="10" t="s">
        <v>87</v>
      </c>
      <c r="B71" s="8">
        <v>68</v>
      </c>
      <c r="C71" s="17" t="s">
        <v>34</v>
      </c>
      <c r="D71" s="18">
        <v>305584.86</v>
      </c>
      <c r="E71" s="19">
        <v>37950.22</v>
      </c>
      <c r="F71" s="19" t="s">
        <v>140</v>
      </c>
      <c r="G71" s="19">
        <v>155865.54</v>
      </c>
      <c r="H71" s="18">
        <v>44507.199999999997</v>
      </c>
      <c r="J71" s="18">
        <f t="shared" ref="J71:J77" si="27">SUM(D71:H71)</f>
        <v>543907.81999999995</v>
      </c>
    </row>
    <row r="72" spans="1:10" x14ac:dyDescent="0.2">
      <c r="A72" s="10" t="s">
        <v>87</v>
      </c>
      <c r="B72" s="8">
        <v>69</v>
      </c>
      <c r="C72" s="17" t="s">
        <v>35</v>
      </c>
      <c r="D72" s="18"/>
      <c r="E72" s="19"/>
      <c r="F72" s="19"/>
      <c r="G72" s="19"/>
      <c r="H72" s="18"/>
      <c r="J72" s="18">
        <f t="shared" si="27"/>
        <v>0</v>
      </c>
    </row>
    <row r="73" spans="1:10" x14ac:dyDescent="0.2">
      <c r="A73" s="10"/>
      <c r="B73" s="8">
        <v>70</v>
      </c>
      <c r="C73" s="14" t="s">
        <v>36</v>
      </c>
      <c r="D73" s="15">
        <f>SUM(D74:D77)</f>
        <v>340492.7</v>
      </c>
      <c r="E73" s="16">
        <f t="shared" ref="E73:H73" si="28">SUM(E74:E77)</f>
        <v>358596.87</v>
      </c>
      <c r="F73" s="16">
        <f t="shared" si="28"/>
        <v>101223.02</v>
      </c>
      <c r="G73" s="16">
        <f t="shared" si="28"/>
        <v>176757.28</v>
      </c>
      <c r="H73" s="15">
        <f t="shared" si="28"/>
        <v>130820.07</v>
      </c>
      <c r="J73" s="15">
        <f t="shared" ref="J73" si="29">SUM(J74:J77)</f>
        <v>1107889.9400000002</v>
      </c>
    </row>
    <row r="74" spans="1:10" x14ac:dyDescent="0.2">
      <c r="A74" s="10" t="s">
        <v>87</v>
      </c>
      <c r="B74" s="8">
        <v>71</v>
      </c>
      <c r="C74" s="17" t="s">
        <v>37</v>
      </c>
      <c r="D74" s="18"/>
      <c r="E74" s="19"/>
      <c r="F74" s="19"/>
      <c r="G74" s="19"/>
      <c r="H74" s="18"/>
      <c r="J74" s="18">
        <f t="shared" si="27"/>
        <v>0</v>
      </c>
    </row>
    <row r="75" spans="1:10" x14ac:dyDescent="0.2">
      <c r="A75" s="10" t="s">
        <v>87</v>
      </c>
      <c r="B75" s="8">
        <v>72</v>
      </c>
      <c r="C75" s="17" t="s">
        <v>38</v>
      </c>
      <c r="D75" s="18">
        <v>340492.7</v>
      </c>
      <c r="E75" s="19">
        <v>358596.87</v>
      </c>
      <c r="F75" s="19">
        <v>101223.02</v>
      </c>
      <c r="G75" s="19">
        <v>176757.28</v>
      </c>
      <c r="H75" s="18">
        <v>130820.07</v>
      </c>
      <c r="J75" s="18">
        <f t="shared" si="27"/>
        <v>1107889.9400000002</v>
      </c>
    </row>
    <row r="76" spans="1:10" x14ac:dyDescent="0.2">
      <c r="A76" s="10" t="s">
        <v>87</v>
      </c>
      <c r="B76" s="8">
        <v>73</v>
      </c>
      <c r="C76" s="17" t="s">
        <v>39</v>
      </c>
      <c r="D76" s="18"/>
      <c r="E76" s="19"/>
      <c r="F76" s="19"/>
      <c r="G76" s="19"/>
      <c r="H76" s="18"/>
      <c r="J76" s="18">
        <f t="shared" si="27"/>
        <v>0</v>
      </c>
    </row>
    <row r="77" spans="1:10" x14ac:dyDescent="0.2">
      <c r="A77" s="10" t="s">
        <v>87</v>
      </c>
      <c r="B77" s="8">
        <v>74</v>
      </c>
      <c r="C77" s="17" t="s">
        <v>40</v>
      </c>
      <c r="D77" s="18"/>
      <c r="E77" s="19"/>
      <c r="F77" s="19"/>
      <c r="G77" s="19"/>
      <c r="H77" s="18"/>
      <c r="J77" s="18">
        <f t="shared" si="27"/>
        <v>0</v>
      </c>
    </row>
    <row r="78" spans="1:10" x14ac:dyDescent="0.2">
      <c r="A78" s="10" t="s">
        <v>87</v>
      </c>
      <c r="B78" s="8">
        <v>75</v>
      </c>
      <c r="C78" s="20" t="s">
        <v>41</v>
      </c>
      <c r="D78" s="15">
        <f>SUM(D75,D77)</f>
        <v>340492.7</v>
      </c>
      <c r="E78" s="16">
        <f t="shared" ref="E78:H78" si="30">SUM(E75,E77)</f>
        <v>358596.87</v>
      </c>
      <c r="F78" s="16">
        <f t="shared" si="30"/>
        <v>101223.02</v>
      </c>
      <c r="G78" s="16">
        <f t="shared" si="30"/>
        <v>176757.28</v>
      </c>
      <c r="H78" s="15">
        <f t="shared" si="30"/>
        <v>130820.07</v>
      </c>
      <c r="J78" s="15">
        <f t="shared" ref="J78" si="31">SUM(J75,J77)</f>
        <v>1107889.9400000002</v>
      </c>
    </row>
    <row r="79" spans="1:10" x14ac:dyDescent="0.2">
      <c r="A79" s="10" t="s">
        <v>87</v>
      </c>
      <c r="B79" s="8">
        <v>76</v>
      </c>
      <c r="C79" s="20" t="s">
        <v>42</v>
      </c>
      <c r="D79" s="15">
        <f>SUM(D74,D76)</f>
        <v>0</v>
      </c>
      <c r="E79" s="16">
        <f t="shared" ref="E79:H79" si="32">SUM(E74,E76)</f>
        <v>0</v>
      </c>
      <c r="F79" s="16">
        <f t="shared" si="32"/>
        <v>0</v>
      </c>
      <c r="G79" s="16">
        <f t="shared" si="32"/>
        <v>0</v>
      </c>
      <c r="H79" s="15">
        <f t="shared" si="32"/>
        <v>0</v>
      </c>
      <c r="J79" s="15">
        <f t="shared" ref="J79" si="33">SUM(J74,J76)</f>
        <v>0</v>
      </c>
    </row>
    <row r="80" spans="1:10" x14ac:dyDescent="0.2">
      <c r="A80" s="10" t="s">
        <v>87</v>
      </c>
      <c r="B80" s="8">
        <v>77</v>
      </c>
      <c r="C80" s="11" t="s">
        <v>43</v>
      </c>
      <c r="D80" s="18">
        <v>170056.7</v>
      </c>
      <c r="E80" s="19">
        <v>43134.78</v>
      </c>
      <c r="F80" s="19">
        <v>486.46</v>
      </c>
      <c r="G80" s="19">
        <v>1548.82</v>
      </c>
      <c r="H80" s="18">
        <v>6182.57</v>
      </c>
      <c r="J80" s="18">
        <f t="shared" ref="J80:J91" si="34">SUM(D80:H80)</f>
        <v>221409.33000000002</v>
      </c>
    </row>
    <row r="81" spans="1:10" x14ac:dyDescent="0.2">
      <c r="A81" s="10" t="s">
        <v>87</v>
      </c>
      <c r="B81" s="8">
        <v>78</v>
      </c>
      <c r="C81" s="11" t="s">
        <v>44</v>
      </c>
      <c r="D81" s="18">
        <v>8255</v>
      </c>
      <c r="E81" s="19">
        <v>147.13</v>
      </c>
      <c r="F81" s="19">
        <v>68966.559999999998</v>
      </c>
      <c r="G81" s="19">
        <v>0</v>
      </c>
      <c r="H81" s="18">
        <v>0</v>
      </c>
      <c r="J81" s="18">
        <f t="shared" si="34"/>
        <v>77368.69</v>
      </c>
    </row>
    <row r="82" spans="1:10" ht="22.8" x14ac:dyDescent="0.2">
      <c r="A82" s="10" t="s">
        <v>87</v>
      </c>
      <c r="B82" s="8">
        <v>79</v>
      </c>
      <c r="C82" s="11" t="s">
        <v>45</v>
      </c>
      <c r="D82" s="18">
        <v>0</v>
      </c>
      <c r="E82" s="19">
        <v>27695.74</v>
      </c>
      <c r="F82" s="19">
        <v>2710.13</v>
      </c>
      <c r="G82" s="19">
        <v>356.4</v>
      </c>
      <c r="H82" s="18">
        <v>1422.38</v>
      </c>
      <c r="J82" s="18">
        <f t="shared" si="34"/>
        <v>32184.650000000005</v>
      </c>
    </row>
    <row r="83" spans="1:10" x14ac:dyDescent="0.2">
      <c r="A83" s="10" t="s">
        <v>87</v>
      </c>
      <c r="B83" s="8">
        <v>80</v>
      </c>
      <c r="C83" s="21" t="s">
        <v>46</v>
      </c>
      <c r="D83" s="18"/>
      <c r="E83" s="19"/>
      <c r="F83" s="19"/>
      <c r="G83" s="19"/>
      <c r="H83" s="18"/>
      <c r="J83" s="18">
        <f t="shared" si="34"/>
        <v>0</v>
      </c>
    </row>
    <row r="84" spans="1:10" x14ac:dyDescent="0.2">
      <c r="A84" s="10" t="s">
        <v>87</v>
      </c>
      <c r="B84" s="8">
        <v>81</v>
      </c>
      <c r="C84" s="21" t="s">
        <v>47</v>
      </c>
      <c r="D84" s="18"/>
      <c r="E84" s="19"/>
      <c r="F84" s="19"/>
      <c r="G84" s="19"/>
      <c r="H84" s="18"/>
      <c r="J84" s="18">
        <f t="shared" si="34"/>
        <v>0</v>
      </c>
    </row>
    <row r="85" spans="1:10" x14ac:dyDescent="0.2">
      <c r="A85" s="10" t="s">
        <v>87</v>
      </c>
      <c r="B85" s="8">
        <v>82</v>
      </c>
      <c r="C85" s="21" t="s">
        <v>48</v>
      </c>
      <c r="D85" s="18"/>
      <c r="E85" s="19"/>
      <c r="F85" s="19"/>
      <c r="G85" s="19"/>
      <c r="H85" s="18"/>
      <c r="J85" s="18">
        <f t="shared" si="34"/>
        <v>0</v>
      </c>
    </row>
    <row r="86" spans="1:10" x14ac:dyDescent="0.2">
      <c r="A86" s="10"/>
      <c r="B86" s="8">
        <v>83</v>
      </c>
      <c r="C86" s="22" t="s">
        <v>49</v>
      </c>
      <c r="D86" s="12">
        <f t="shared" ref="D86:H86" si="35">SUM(D68,D80,D81,D82)</f>
        <v>824389.26</v>
      </c>
      <c r="E86" s="13">
        <f t="shared" si="35"/>
        <v>467524.74</v>
      </c>
      <c r="F86" s="13">
        <f t="shared" si="35"/>
        <v>173386.17</v>
      </c>
      <c r="G86" s="13">
        <f t="shared" si="35"/>
        <v>334528.04000000004</v>
      </c>
      <c r="H86" s="12">
        <f t="shared" si="35"/>
        <v>182932.22000000003</v>
      </c>
      <c r="J86" s="12">
        <f t="shared" ref="J86" si="36">SUM(J68,J80,J81,J82)</f>
        <v>1982760.4300000002</v>
      </c>
    </row>
    <row r="87" spans="1:10" x14ac:dyDescent="0.2">
      <c r="A87" s="10" t="s">
        <v>87</v>
      </c>
      <c r="B87" s="8">
        <v>84</v>
      </c>
      <c r="C87" s="21" t="s">
        <v>50</v>
      </c>
      <c r="D87" s="18">
        <v>3004.8</v>
      </c>
      <c r="E87" s="19">
        <v>159.03</v>
      </c>
      <c r="F87" s="19">
        <v>0</v>
      </c>
      <c r="G87" s="19">
        <v>21</v>
      </c>
      <c r="H87" s="18">
        <v>42</v>
      </c>
      <c r="J87" s="18">
        <f t="shared" si="34"/>
        <v>3226.8300000000004</v>
      </c>
    </row>
    <row r="88" spans="1:10" ht="22.8" x14ac:dyDescent="0.2">
      <c r="A88" s="10" t="s">
        <v>87</v>
      </c>
      <c r="B88" s="8">
        <v>85</v>
      </c>
      <c r="C88" s="21" t="s">
        <v>51</v>
      </c>
      <c r="D88" s="18"/>
      <c r="E88" s="19"/>
      <c r="F88" s="19"/>
      <c r="G88" s="19"/>
      <c r="H88" s="18"/>
      <c r="J88" s="18">
        <f t="shared" si="34"/>
        <v>0</v>
      </c>
    </row>
    <row r="89" spans="1:10" ht="22.8" x14ac:dyDescent="0.2">
      <c r="A89" s="10" t="s">
        <v>87</v>
      </c>
      <c r="B89" s="8">
        <v>86</v>
      </c>
      <c r="C89" s="21" t="s">
        <v>52</v>
      </c>
      <c r="D89" s="18"/>
      <c r="E89" s="19"/>
      <c r="F89" s="19"/>
      <c r="G89" s="19"/>
      <c r="H89" s="18"/>
      <c r="J89" s="18">
        <f t="shared" si="34"/>
        <v>0</v>
      </c>
    </row>
    <row r="90" spans="1:10" ht="22.8" x14ac:dyDescent="0.2">
      <c r="A90" s="10" t="s">
        <v>87</v>
      </c>
      <c r="B90" s="8">
        <v>87</v>
      </c>
      <c r="C90" s="21" t="s">
        <v>53</v>
      </c>
      <c r="D90" s="18"/>
      <c r="E90" s="19"/>
      <c r="F90" s="19"/>
      <c r="G90" s="19"/>
      <c r="H90" s="18"/>
      <c r="J90" s="18">
        <f t="shared" si="34"/>
        <v>0</v>
      </c>
    </row>
    <row r="91" spans="1:10" ht="22.8" x14ac:dyDescent="0.2">
      <c r="A91" s="10" t="s">
        <v>87</v>
      </c>
      <c r="B91" s="8">
        <v>88</v>
      </c>
      <c r="C91" s="21" t="s">
        <v>54</v>
      </c>
      <c r="D91" s="18">
        <v>10517.23</v>
      </c>
      <c r="E91" s="19">
        <v>3241.32</v>
      </c>
      <c r="F91" s="19"/>
      <c r="G91" s="19">
        <v>136.56</v>
      </c>
      <c r="H91" s="18">
        <v>155.35</v>
      </c>
      <c r="J91" s="18">
        <f t="shared" si="34"/>
        <v>14050.46</v>
      </c>
    </row>
    <row r="92" spans="1:10" x14ac:dyDescent="0.2">
      <c r="A92" s="10"/>
      <c r="B92" s="8">
        <v>89</v>
      </c>
      <c r="C92" s="22" t="s">
        <v>55</v>
      </c>
      <c r="D92" s="12">
        <f>SUM(D87:D91)</f>
        <v>13522.029999999999</v>
      </c>
      <c r="E92" s="13">
        <f t="shared" ref="E92:H92" si="37">SUM(E87:E91)</f>
        <v>3400.3500000000004</v>
      </c>
      <c r="F92" s="13">
        <f t="shared" si="37"/>
        <v>0</v>
      </c>
      <c r="G92" s="13">
        <f t="shared" si="37"/>
        <v>157.56</v>
      </c>
      <c r="H92" s="12">
        <f t="shared" si="37"/>
        <v>197.35</v>
      </c>
      <c r="J92" s="12">
        <f t="shared" ref="J92" si="38">SUM(J87:J91)</f>
        <v>17277.29</v>
      </c>
    </row>
    <row r="93" spans="1:10" x14ac:dyDescent="0.2">
      <c r="A93" s="10"/>
      <c r="B93" s="8">
        <v>90</v>
      </c>
      <c r="C93" s="22" t="s">
        <v>56</v>
      </c>
      <c r="D93" s="12">
        <f>D86-D92</f>
        <v>810867.23</v>
      </c>
      <c r="E93" s="13">
        <f t="shared" ref="E93:H93" si="39">E86-E92</f>
        <v>464124.39</v>
      </c>
      <c r="F93" s="13">
        <f t="shared" si="39"/>
        <v>173386.17</v>
      </c>
      <c r="G93" s="13">
        <f t="shared" si="39"/>
        <v>334370.48000000004</v>
      </c>
      <c r="H93" s="12">
        <f t="shared" si="39"/>
        <v>182734.87000000002</v>
      </c>
      <c r="J93" s="12">
        <f t="shared" ref="J93" si="40">J86-J92</f>
        <v>1965483.1400000001</v>
      </c>
    </row>
    <row r="94" spans="1:10" x14ac:dyDescent="0.2">
      <c r="A94" s="10" t="s">
        <v>87</v>
      </c>
      <c r="B94" s="8">
        <v>91</v>
      </c>
      <c r="C94" s="23" t="s">
        <v>57</v>
      </c>
      <c r="D94" s="24">
        <v>49741.24</v>
      </c>
      <c r="E94" s="25">
        <v>0</v>
      </c>
      <c r="F94" s="25">
        <v>0</v>
      </c>
      <c r="G94" s="25">
        <v>36628</v>
      </c>
      <c r="H94" s="24">
        <v>0</v>
      </c>
      <c r="J94" s="24">
        <f t="shared" ref="J94" si="41">SUM(D94:H94)</f>
        <v>86369.239999999991</v>
      </c>
    </row>
    <row r="95" spans="1:10" ht="68.400000000000006" x14ac:dyDescent="0.2">
      <c r="A95" s="10"/>
      <c r="B95" s="8">
        <v>92</v>
      </c>
      <c r="C95" s="26" t="s">
        <v>58</v>
      </c>
      <c r="D95" s="27" t="s">
        <v>135</v>
      </c>
      <c r="E95" s="28" t="s">
        <v>136</v>
      </c>
      <c r="F95" s="28" t="s">
        <v>137</v>
      </c>
      <c r="G95" s="28" t="s">
        <v>138</v>
      </c>
      <c r="H95" s="27" t="s">
        <v>59</v>
      </c>
      <c r="J95" s="27"/>
    </row>
    <row r="96" spans="1:10" ht="68.400000000000006" x14ac:dyDescent="0.2">
      <c r="A96" s="10" t="s">
        <v>87</v>
      </c>
      <c r="B96" s="8">
        <v>93</v>
      </c>
      <c r="C96" s="29" t="s">
        <v>60</v>
      </c>
      <c r="D96" s="30" t="s">
        <v>135</v>
      </c>
      <c r="E96" s="31" t="s">
        <v>136</v>
      </c>
      <c r="F96" s="31" t="s">
        <v>137</v>
      </c>
      <c r="G96" s="31" t="s">
        <v>138</v>
      </c>
      <c r="H96" s="30" t="s">
        <v>59</v>
      </c>
      <c r="J96" s="30"/>
    </row>
    <row r="97" spans="1:10" ht="63.45" customHeight="1" x14ac:dyDescent="0.2">
      <c r="A97" s="10" t="s">
        <v>87</v>
      </c>
      <c r="B97" s="8">
        <v>94</v>
      </c>
      <c r="C97" s="29" t="s">
        <v>61</v>
      </c>
      <c r="D97" s="32" t="s">
        <v>62</v>
      </c>
      <c r="E97" s="33" t="s">
        <v>62</v>
      </c>
      <c r="F97" s="33" t="s">
        <v>62</v>
      </c>
      <c r="G97" s="33" t="s">
        <v>62</v>
      </c>
      <c r="H97" s="32" t="s">
        <v>62</v>
      </c>
      <c r="J97" s="34"/>
    </row>
    <row r="98" spans="1:10" x14ac:dyDescent="0.2">
      <c r="A98" s="10" t="s">
        <v>87</v>
      </c>
      <c r="B98" s="8">
        <v>95</v>
      </c>
      <c r="C98" s="29" t="s">
        <v>63</v>
      </c>
      <c r="D98" s="35">
        <v>769796</v>
      </c>
      <c r="E98" s="36">
        <v>1910635</v>
      </c>
      <c r="F98" s="36">
        <v>953</v>
      </c>
      <c r="G98" s="36">
        <v>7604871.6299999999</v>
      </c>
      <c r="H98" s="37">
        <v>60041349.039999999</v>
      </c>
      <c r="J98" s="37"/>
    </row>
    <row r="99" spans="1:10" x14ac:dyDescent="0.2">
      <c r="A99" s="10"/>
      <c r="B99" s="8">
        <v>96</v>
      </c>
      <c r="C99" s="23" t="s">
        <v>64</v>
      </c>
      <c r="D99" s="38"/>
      <c r="E99" s="39"/>
      <c r="F99" s="39"/>
      <c r="G99" s="39"/>
      <c r="H99" s="38"/>
      <c r="J99" s="38"/>
    </row>
    <row r="100" spans="1:10" ht="34.200000000000003" x14ac:dyDescent="0.2">
      <c r="A100" s="10"/>
      <c r="B100" s="8">
        <v>97</v>
      </c>
      <c r="C100" s="22" t="s">
        <v>65</v>
      </c>
      <c r="D100" s="40"/>
      <c r="E100" s="41"/>
      <c r="F100" s="41"/>
      <c r="G100" s="41"/>
      <c r="H100" s="40"/>
      <c r="J100" s="40"/>
    </row>
    <row r="101" spans="1:10" x14ac:dyDescent="0.2">
      <c r="A101" s="10" t="s">
        <v>88</v>
      </c>
      <c r="B101" s="8">
        <v>98</v>
      </c>
      <c r="C101" s="42" t="s">
        <v>67</v>
      </c>
      <c r="D101" s="43"/>
      <c r="E101" s="44"/>
      <c r="F101" s="44"/>
      <c r="G101" s="44"/>
      <c r="H101" s="43"/>
      <c r="J101" s="43"/>
    </row>
    <row r="102" spans="1:10" x14ac:dyDescent="0.2">
      <c r="A102" s="10" t="s">
        <v>89</v>
      </c>
      <c r="B102" s="8">
        <v>99</v>
      </c>
      <c r="C102" s="42" t="s">
        <v>69</v>
      </c>
      <c r="D102" s="45"/>
      <c r="E102" s="46"/>
      <c r="F102" s="46"/>
      <c r="G102" s="46"/>
      <c r="H102" s="45"/>
      <c r="J102" s="45"/>
    </row>
    <row r="103" spans="1:10" x14ac:dyDescent="0.2">
      <c r="A103" s="10" t="s">
        <v>89</v>
      </c>
      <c r="B103" s="8">
        <v>100</v>
      </c>
      <c r="C103" s="42" t="s">
        <v>70</v>
      </c>
      <c r="D103" s="47"/>
      <c r="E103" s="48"/>
      <c r="F103" s="48"/>
      <c r="G103" s="48"/>
      <c r="H103" s="47"/>
      <c r="J103" s="47"/>
    </row>
    <row r="104" spans="1:10" x14ac:dyDescent="0.2">
      <c r="A104" s="10"/>
      <c r="B104" s="8">
        <v>101</v>
      </c>
    </row>
    <row r="105" spans="1:10" x14ac:dyDescent="0.2">
      <c r="A105" s="10"/>
      <c r="B105" s="8">
        <v>102</v>
      </c>
      <c r="C105" s="17"/>
    </row>
    <row r="106" spans="1:10" x14ac:dyDescent="0.2">
      <c r="A106" s="10" t="s">
        <v>87</v>
      </c>
      <c r="B106" s="8">
        <v>103</v>
      </c>
      <c r="C106" s="17" t="s">
        <v>71</v>
      </c>
      <c r="D106" s="49">
        <v>305584.86</v>
      </c>
      <c r="E106" s="50">
        <v>37950.22</v>
      </c>
      <c r="F106" s="50">
        <v>0</v>
      </c>
      <c r="G106" s="50">
        <v>155865.54</v>
      </c>
      <c r="H106" s="49">
        <v>44507.199999999997</v>
      </c>
      <c r="J106" s="49"/>
    </row>
    <row r="107" spans="1:10" x14ac:dyDescent="0.2">
      <c r="A107" s="10" t="s">
        <v>87</v>
      </c>
      <c r="B107" s="8">
        <v>104</v>
      </c>
      <c r="C107" s="17" t="s">
        <v>72</v>
      </c>
      <c r="D107" s="51">
        <v>2.9710000000000001</v>
      </c>
      <c r="E107" s="52">
        <v>0.29799999999999999</v>
      </c>
      <c r="F107" s="52" t="s">
        <v>140</v>
      </c>
      <c r="G107" s="52">
        <v>1.216</v>
      </c>
      <c r="H107" s="51">
        <v>0.3</v>
      </c>
      <c r="J107" s="51">
        <f>SUM(D107:H107)</f>
        <v>4.7850000000000001</v>
      </c>
    </row>
    <row r="108" spans="1:10" ht="22.8" x14ac:dyDescent="0.2">
      <c r="A108" s="10" t="s">
        <v>87</v>
      </c>
      <c r="B108" s="8">
        <v>105</v>
      </c>
      <c r="C108" s="53" t="s">
        <v>73</v>
      </c>
      <c r="D108" s="54">
        <v>102855.9513</v>
      </c>
      <c r="E108" s="55">
        <v>127349.73149999999</v>
      </c>
      <c r="F108" s="55" t="s">
        <v>140</v>
      </c>
      <c r="G108" s="55">
        <v>128178.898</v>
      </c>
      <c r="H108" s="54">
        <v>148357.3333</v>
      </c>
      <c r="J108" s="54"/>
    </row>
    <row r="109" spans="1:10" x14ac:dyDescent="0.2">
      <c r="A109" s="10"/>
      <c r="B109" s="8">
        <v>106</v>
      </c>
    </row>
    <row r="110" spans="1:10" x14ac:dyDescent="0.2">
      <c r="A110" s="10" t="s">
        <v>87</v>
      </c>
      <c r="B110" s="8">
        <v>107</v>
      </c>
      <c r="C110" s="17" t="s">
        <v>74</v>
      </c>
      <c r="D110" s="49"/>
      <c r="E110" s="50"/>
      <c r="F110" s="50"/>
      <c r="G110" s="50"/>
      <c r="H110" s="49"/>
      <c r="J110" s="49"/>
    </row>
    <row r="111" spans="1:10" x14ac:dyDescent="0.2">
      <c r="A111" s="10" t="s">
        <v>87</v>
      </c>
      <c r="B111" s="8">
        <v>108</v>
      </c>
      <c r="C111" s="17" t="s">
        <v>75</v>
      </c>
      <c r="D111" s="51"/>
      <c r="E111" s="52"/>
      <c r="F111" s="52"/>
      <c r="G111" s="52"/>
      <c r="H111" s="51"/>
      <c r="J111" s="51">
        <f>SUM(D111:H111)</f>
        <v>0</v>
      </c>
    </row>
    <row r="112" spans="1:10" x14ac:dyDescent="0.2">
      <c r="A112" s="10" t="s">
        <v>87</v>
      </c>
      <c r="B112" s="8">
        <v>109</v>
      </c>
      <c r="C112" s="53" t="s">
        <v>76</v>
      </c>
      <c r="D112" s="54"/>
      <c r="E112" s="55"/>
      <c r="F112" s="55"/>
      <c r="G112" s="55"/>
      <c r="H112" s="54"/>
      <c r="J112" s="54"/>
    </row>
    <row r="113" spans="1:10" x14ac:dyDescent="0.2">
      <c r="A113" s="10"/>
      <c r="B113" s="8">
        <v>110</v>
      </c>
    </row>
    <row r="114" spans="1:10" x14ac:dyDescent="0.2">
      <c r="A114" s="10" t="s">
        <v>87</v>
      </c>
      <c r="B114" s="8">
        <v>111</v>
      </c>
      <c r="C114" s="17" t="s">
        <v>77</v>
      </c>
      <c r="D114" s="49"/>
      <c r="E114" s="50"/>
      <c r="F114" s="50"/>
      <c r="G114" s="50"/>
      <c r="H114" s="49"/>
      <c r="J114" s="49"/>
    </row>
    <row r="115" spans="1:10" x14ac:dyDescent="0.2">
      <c r="A115" s="10" t="s">
        <v>87</v>
      </c>
      <c r="B115" s="8">
        <v>112</v>
      </c>
      <c r="C115" s="17" t="s">
        <v>78</v>
      </c>
      <c r="D115" s="51"/>
      <c r="E115" s="52"/>
      <c r="F115" s="52"/>
      <c r="G115" s="52"/>
      <c r="H115" s="51"/>
      <c r="J115" s="51">
        <f>SUM(D115:H115)</f>
        <v>0</v>
      </c>
    </row>
    <row r="116" spans="1:10" x14ac:dyDescent="0.2">
      <c r="A116" s="10" t="s">
        <v>87</v>
      </c>
      <c r="B116" s="8">
        <v>113</v>
      </c>
      <c r="C116" s="56" t="s">
        <v>79</v>
      </c>
      <c r="D116" s="54"/>
      <c r="E116" s="55"/>
      <c r="F116" s="55"/>
      <c r="G116" s="55"/>
      <c r="H116" s="54"/>
      <c r="J116" s="54"/>
    </row>
    <row r="117" spans="1:10" x14ac:dyDescent="0.2">
      <c r="A117" s="10"/>
      <c r="B117" s="8">
        <v>114</v>
      </c>
    </row>
    <row r="118" spans="1:10" x14ac:dyDescent="0.2">
      <c r="A118" s="10" t="s">
        <v>87</v>
      </c>
      <c r="B118" s="8">
        <v>115</v>
      </c>
      <c r="C118" s="17" t="s">
        <v>80</v>
      </c>
      <c r="D118" s="49"/>
      <c r="E118" s="50"/>
      <c r="F118" s="50"/>
      <c r="G118" s="50"/>
      <c r="H118" s="49"/>
      <c r="J118" s="49"/>
    </row>
    <row r="119" spans="1:10" x14ac:dyDescent="0.2">
      <c r="A119" s="10" t="s">
        <v>87</v>
      </c>
      <c r="B119" s="8">
        <v>116</v>
      </c>
      <c r="C119" s="17" t="s">
        <v>81</v>
      </c>
      <c r="D119" s="51"/>
      <c r="E119" s="52"/>
      <c r="F119" s="52"/>
      <c r="G119" s="52"/>
      <c r="H119" s="51"/>
      <c r="J119" s="51">
        <f>SUM(D119:H119)</f>
        <v>0</v>
      </c>
    </row>
    <row r="120" spans="1:10" x14ac:dyDescent="0.2">
      <c r="A120" s="10" t="s">
        <v>87</v>
      </c>
      <c r="B120" s="8">
        <v>117</v>
      </c>
      <c r="C120" s="56" t="s">
        <v>82</v>
      </c>
      <c r="D120" s="54"/>
      <c r="E120" s="55"/>
      <c r="F120" s="55"/>
      <c r="G120" s="55"/>
      <c r="H120" s="54"/>
      <c r="J120" s="54"/>
    </row>
    <row r="121" spans="1:10" x14ac:dyDescent="0.2">
      <c r="A121" s="10"/>
      <c r="B121" s="8">
        <v>118</v>
      </c>
    </row>
    <row r="122" spans="1:10" x14ac:dyDescent="0.2">
      <c r="A122" s="10" t="s">
        <v>87</v>
      </c>
      <c r="B122" s="8">
        <v>119</v>
      </c>
      <c r="C122" s="17" t="s">
        <v>83</v>
      </c>
      <c r="D122" s="49">
        <v>329975.46999999997</v>
      </c>
      <c r="E122" s="50">
        <v>355355.55</v>
      </c>
      <c r="F122" s="50">
        <v>101223.02</v>
      </c>
      <c r="G122" s="50">
        <v>176620.72</v>
      </c>
      <c r="H122" s="49">
        <v>130664.72</v>
      </c>
      <c r="J122" s="49"/>
    </row>
    <row r="123" spans="1:10" x14ac:dyDescent="0.2">
      <c r="A123" s="10" t="s">
        <v>87</v>
      </c>
      <c r="B123" s="8">
        <v>120</v>
      </c>
      <c r="C123" s="17" t="s">
        <v>84</v>
      </c>
      <c r="D123" s="51">
        <v>8.0436999999999994</v>
      </c>
      <c r="E123" s="52">
        <v>7.2472000000000003</v>
      </c>
      <c r="F123" s="52">
        <v>1.91</v>
      </c>
      <c r="G123" s="52">
        <v>3.4695999999999998</v>
      </c>
      <c r="H123" s="51">
        <v>2.9</v>
      </c>
      <c r="J123" s="51">
        <f>SUM(D123:H123)</f>
        <v>23.570499999999999</v>
      </c>
    </row>
    <row r="124" spans="1:10" x14ac:dyDescent="0.2">
      <c r="A124" s="10" t="s">
        <v>87</v>
      </c>
      <c r="B124" s="8">
        <v>121</v>
      </c>
      <c r="C124" s="56" t="s">
        <v>85</v>
      </c>
      <c r="D124" s="54">
        <v>41022.842199999999</v>
      </c>
      <c r="E124" s="55">
        <v>49033.343500000003</v>
      </c>
      <c r="F124" s="55">
        <v>52996.345500000003</v>
      </c>
      <c r="G124" s="55">
        <v>50905.198700000001</v>
      </c>
      <c r="H124" s="54">
        <v>45056.787100000001</v>
      </c>
      <c r="J124" s="54"/>
    </row>
  </sheetData>
  <mergeCells count="1">
    <mergeCell ref="J3:J4"/>
  </mergeCells>
  <hyperlinks>
    <hyperlink ref="A2" location="'Fiche de contenu détaillée'!C12" display="Retour Fiche" xr:uid="{27E8BCCC-C2C0-4386-A4B2-8AD1179EB8B0}"/>
  </hyperlinks>
  <pageMargins left="0.7" right="0.7" top="0.75" bottom="0.75" header="0.3" footer="0.3"/>
  <pageSetup paperSize="9" scale="4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AC82"/>
  <sheetViews>
    <sheetView showGridLines="0" zoomScale="85" zoomScaleNormal="85" workbookViewId="0">
      <selection activeCell="C8" sqref="C8"/>
    </sheetView>
  </sheetViews>
  <sheetFormatPr baseColWidth="10" defaultColWidth="10.36328125" defaultRowHeight="12.6" x14ac:dyDescent="0.2"/>
  <cols>
    <col min="1" max="1" width="3.08984375" style="60" customWidth="1"/>
    <col min="2" max="2" width="2.453125" style="60" customWidth="1"/>
    <col min="3" max="3" width="30.7265625" style="60" customWidth="1"/>
    <col min="4" max="4" width="24.90625" style="60" customWidth="1"/>
    <col min="5" max="5" width="0.453125" style="60" customWidth="1"/>
    <col min="6" max="6" width="13.453125" style="60" bestFit="1" customWidth="1"/>
    <col min="7" max="7" width="0.453125" style="60" customWidth="1"/>
    <col min="8" max="8" width="10.36328125" style="60"/>
    <col min="9" max="9" width="4" style="60" bestFit="1" customWidth="1"/>
    <col min="10" max="10" width="13.453125" style="60" bestFit="1" customWidth="1"/>
    <col min="11" max="11" width="0.453125" style="60" customWidth="1"/>
    <col min="12" max="12" width="10.36328125" style="60"/>
    <col min="13" max="14" width="4.36328125" style="60" customWidth="1"/>
    <col min="15" max="15" width="6.36328125" style="60" bestFit="1" customWidth="1"/>
    <col min="16" max="16" width="11.453125" style="63" bestFit="1" customWidth="1"/>
    <col min="17" max="17" width="4.36328125" style="60" customWidth="1"/>
    <col min="18" max="18" width="12.26953125" style="60" customWidth="1"/>
    <col min="19" max="19" width="4.36328125" style="60" customWidth="1"/>
    <col min="20" max="20" width="13.08984375" style="60" customWidth="1"/>
    <col min="21" max="21" width="4.36328125" style="60" customWidth="1"/>
    <col min="22" max="22" width="11.08984375" style="60" customWidth="1"/>
    <col min="23" max="27" width="4.36328125" style="60" customWidth="1"/>
    <col min="28" max="16384" width="10.36328125" style="60"/>
  </cols>
  <sheetData>
    <row r="1" spans="2:29" ht="30" customHeight="1" x14ac:dyDescent="0.2">
      <c r="B1" s="278" t="s">
        <v>139</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C1" s="61"/>
    </row>
    <row r="2" spans="2:29" ht="31.5" customHeight="1" x14ac:dyDescent="0.2">
      <c r="B2" s="280">
        <v>2019</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row>
    <row r="3" spans="2:29" ht="14.4" x14ac:dyDescent="0.2">
      <c r="B3" s="62"/>
    </row>
    <row r="4" spans="2:29" ht="15" customHeight="1" x14ac:dyDescent="0.2">
      <c r="B4" s="282">
        <f>'SAISIE DES DONNEES LM'!$C$4</f>
        <v>0</v>
      </c>
      <c r="C4" s="283"/>
      <c r="D4" s="283"/>
      <c r="E4" s="283"/>
      <c r="F4" s="283"/>
      <c r="G4" s="283"/>
      <c r="H4" s="283"/>
      <c r="I4" s="283"/>
      <c r="J4" s="283"/>
      <c r="K4" s="283"/>
      <c r="L4" s="283"/>
      <c r="M4" s="283"/>
      <c r="N4" s="283"/>
      <c r="O4" s="283"/>
      <c r="P4" s="283"/>
      <c r="Q4" s="283"/>
      <c r="R4" s="284"/>
      <c r="S4" s="64"/>
      <c r="T4" s="64"/>
      <c r="U4" s="64"/>
      <c r="V4" s="64"/>
      <c r="W4" s="64"/>
      <c r="X4" s="64"/>
      <c r="Y4" s="64"/>
      <c r="Z4" s="64"/>
      <c r="AA4" s="64"/>
    </row>
    <row r="5" spans="2:29" ht="15" customHeight="1" x14ac:dyDescent="0.2">
      <c r="B5" s="285"/>
      <c r="C5" s="286"/>
      <c r="D5" s="286"/>
      <c r="E5" s="286"/>
      <c r="F5" s="286"/>
      <c r="G5" s="286"/>
      <c r="H5" s="286"/>
      <c r="I5" s="286"/>
      <c r="J5" s="286"/>
      <c r="K5" s="286"/>
      <c r="L5" s="286"/>
      <c r="M5" s="286"/>
      <c r="N5" s="286"/>
      <c r="O5" s="286"/>
      <c r="P5" s="286"/>
      <c r="Q5" s="286"/>
      <c r="R5" s="287"/>
      <c r="S5" s="64"/>
      <c r="T5" s="64"/>
      <c r="U5" s="64"/>
      <c r="V5" s="64"/>
      <c r="W5" s="64"/>
      <c r="X5" s="64"/>
      <c r="Y5" s="64"/>
      <c r="Z5" s="64"/>
      <c r="AA5" s="64"/>
    </row>
    <row r="6" spans="2:29" ht="15" customHeight="1" x14ac:dyDescent="0.2">
      <c r="B6" s="285"/>
      <c r="C6" s="286"/>
      <c r="D6" s="286"/>
      <c r="E6" s="286"/>
      <c r="F6" s="286"/>
      <c r="G6" s="286"/>
      <c r="H6" s="286"/>
      <c r="I6" s="286"/>
      <c r="J6" s="286"/>
      <c r="K6" s="286"/>
      <c r="L6" s="286"/>
      <c r="M6" s="286"/>
      <c r="N6" s="286"/>
      <c r="O6" s="286"/>
      <c r="P6" s="286"/>
      <c r="Q6" s="286"/>
      <c r="R6" s="287"/>
      <c r="S6" s="64"/>
      <c r="T6" s="64"/>
      <c r="U6" s="64"/>
      <c r="V6" s="64"/>
      <c r="W6" s="64"/>
      <c r="X6" s="64"/>
      <c r="Y6" s="64"/>
      <c r="Z6" s="64"/>
      <c r="AA6" s="64"/>
    </row>
    <row r="7" spans="2:29" ht="15" customHeight="1" x14ac:dyDescent="0.2">
      <c r="B7" s="288"/>
      <c r="C7" s="289"/>
      <c r="D7" s="289"/>
      <c r="E7" s="289"/>
      <c r="F7" s="289"/>
      <c r="G7" s="289"/>
      <c r="H7" s="289"/>
      <c r="I7" s="289"/>
      <c r="J7" s="289"/>
      <c r="K7" s="289"/>
      <c r="L7" s="289"/>
      <c r="M7" s="289"/>
      <c r="N7" s="289"/>
      <c r="O7" s="289"/>
      <c r="P7" s="289"/>
      <c r="Q7" s="289"/>
      <c r="R7" s="290"/>
      <c r="S7" s="64"/>
      <c r="T7" s="64"/>
      <c r="U7" s="64"/>
      <c r="V7" s="65" t="str">
        <f>"Structure du coût de l'uo établissement pour la LM "&amp;$B$9</f>
        <v>Structure du coût de l'uo établissement pour la LM Stérilisation</v>
      </c>
      <c r="W7" s="64"/>
      <c r="X7" s="64"/>
      <c r="Y7" s="64"/>
      <c r="Z7" s="64"/>
      <c r="AA7" s="64"/>
    </row>
    <row r="9" spans="2:29" s="66" customFormat="1" ht="75" customHeight="1" x14ac:dyDescent="0.2">
      <c r="B9" s="291" t="s">
        <v>131</v>
      </c>
      <c r="C9" s="292"/>
      <c r="D9" s="293"/>
      <c r="F9" s="294" t="str">
        <f>"Données brutes et coûts décomposés de l'ES"
&amp;" "&amp;
"RTC "&amp;B2</f>
        <v>Données brutes et coûts décomposés de l'ES RTC 2019</v>
      </c>
      <c r="G9" s="295"/>
      <c r="H9" s="296"/>
      <c r="J9" s="294" t="str">
        <f>"Données brutes et coûts décomposés de l'ES"
&amp;" "&amp;
"RTC "&amp;B2-1</f>
        <v>Données brutes et coûts décomposés de l'ES RTC 2018</v>
      </c>
      <c r="K9" s="295"/>
      <c r="L9" s="296"/>
      <c r="O9" s="294" t="str">
        <f>"Evolution "&amp;B2&amp;"/"&amp;B2-1</f>
        <v>Evolution 2019/2018</v>
      </c>
      <c r="P9" s="296"/>
      <c r="R9" s="67" t="s">
        <v>90</v>
      </c>
    </row>
    <row r="10" spans="2:29" ht="14.4" x14ac:dyDescent="0.2">
      <c r="O10" s="68" t="s">
        <v>91</v>
      </c>
      <c r="P10" s="69" t="s">
        <v>92</v>
      </c>
      <c r="T10" s="66"/>
      <c r="U10" s="66"/>
      <c r="V10" s="66"/>
    </row>
    <row r="11" spans="2:29" ht="21.75" customHeight="1" x14ac:dyDescent="0.2">
      <c r="B11" s="297" t="s">
        <v>93</v>
      </c>
      <c r="C11" s="298"/>
      <c r="D11" s="299"/>
      <c r="E11" s="70"/>
      <c r="F11" s="300">
        <f>IFERROR(H30,"")</f>
        <v>0.24604286849061763</v>
      </c>
      <c r="G11" s="301"/>
      <c r="H11" s="302"/>
      <c r="I11" s="71"/>
      <c r="J11" s="300">
        <f>IFERROR(L30,"")</f>
        <v>0.24469599897416303</v>
      </c>
      <c r="K11" s="301"/>
      <c r="L11" s="302"/>
      <c r="M11" s="72"/>
      <c r="N11" s="72"/>
      <c r="O11" s="73">
        <f>IFERROR(F11/J11-1,"")</f>
        <v>5.5042563920173482E-3</v>
      </c>
      <c r="P11" s="74">
        <f>IFERROR(F11-J11,"")</f>
        <v>1.3468695164546018E-3</v>
      </c>
      <c r="Q11" s="72"/>
      <c r="R11" s="75">
        <f>HLOOKUP($B$9,'SAISIE DES DONNEES LM'!$D$4:$Y$140,35,FALSE)</f>
        <v>0.29616313109999998</v>
      </c>
      <c r="S11" s="72"/>
      <c r="T11" s="66"/>
      <c r="U11" s="66"/>
      <c r="V11" s="66"/>
      <c r="W11" s="72"/>
      <c r="X11" s="72"/>
      <c r="Y11" s="72"/>
      <c r="Z11" s="72"/>
      <c r="AA11" s="72"/>
    </row>
    <row r="12" spans="2:29" ht="15" customHeight="1" x14ac:dyDescent="0.2">
      <c r="B12" s="76"/>
      <c r="C12" s="76"/>
      <c r="D12" s="76"/>
      <c r="E12" s="70"/>
      <c r="F12" s="76"/>
      <c r="G12" s="76"/>
      <c r="H12" s="76"/>
      <c r="I12" s="76"/>
      <c r="J12" s="76"/>
      <c r="K12" s="76"/>
      <c r="L12" s="76"/>
      <c r="M12" s="72"/>
      <c r="N12" s="72"/>
      <c r="O12" s="77"/>
      <c r="P12" s="77"/>
      <c r="Q12" s="72"/>
      <c r="R12" s="72"/>
      <c r="S12" s="72"/>
      <c r="T12" s="72"/>
      <c r="U12" s="72"/>
      <c r="V12" s="72"/>
      <c r="W12" s="72"/>
      <c r="X12" s="72"/>
      <c r="Y12" s="72"/>
      <c r="Z12" s="72"/>
      <c r="AA12" s="72"/>
    </row>
    <row r="13" spans="2:29" ht="15" customHeight="1" x14ac:dyDescent="0.2">
      <c r="B13" s="78">
        <f>F31</f>
        <v>470147.13</v>
      </c>
      <c r="C13" s="303" t="s">
        <v>94</v>
      </c>
      <c r="D13" s="303"/>
      <c r="F13" s="304">
        <f>HLOOKUP($B$9,'SAISIE DES DONNEES LM'!$D$4:$Y$140,32,FALSE)</f>
        <v>1919825</v>
      </c>
      <c r="G13" s="305"/>
      <c r="H13" s="306"/>
      <c r="I13" s="79"/>
      <c r="J13" s="304">
        <f>HLOOKUP($B$9,'SAISIE DES DONNEES LM'!$D$4:$Y$140,95,FALSE)</f>
        <v>1910635</v>
      </c>
      <c r="K13" s="305"/>
      <c r="L13" s="306"/>
      <c r="M13" s="80"/>
      <c r="N13" s="80"/>
      <c r="O13" s="73">
        <f>IFERROR(F13/J13-1,"")</f>
        <v>4.8099192153394643E-3</v>
      </c>
      <c r="P13" s="81">
        <f>IFERROR(F13-J13,"")</f>
        <v>9190</v>
      </c>
      <c r="Q13" s="80"/>
      <c r="R13" s="80"/>
      <c r="S13" s="80"/>
      <c r="T13" s="80"/>
      <c r="U13" s="80"/>
      <c r="V13" s="80"/>
      <c r="W13" s="80"/>
      <c r="X13" s="80"/>
      <c r="Y13" s="80"/>
      <c r="Z13" s="80"/>
      <c r="AA13" s="80"/>
    </row>
    <row r="14" spans="2:29" ht="32.25" customHeight="1" x14ac:dyDescent="0.2">
      <c r="B14" s="76"/>
      <c r="C14" s="82" t="str">
        <f>HLOOKUP($B$9,'SAISIE DES DONNEES LM'!$D$4:$Y$128,29,FALSE)</f>
        <v>Nb d'UO sté</v>
      </c>
      <c r="D14" s="83" t="s">
        <v>95</v>
      </c>
      <c r="F14" s="307" t="str">
        <f>HLOOKUP($B$9,'SAISIE DES DONNEES LM'!$D$4:$Y$140,30,FALSE)</f>
        <v>Nb d'UO sté</v>
      </c>
      <c r="G14" s="308"/>
      <c r="H14" s="309"/>
      <c r="I14" s="84"/>
      <c r="J14" s="307" t="str">
        <f>HLOOKUP($B$9,'SAISIE DES DONNEES LM'!$D$4:$Y$140,93,FALSE)</f>
        <v>Nb d'UO sté</v>
      </c>
      <c r="K14" s="308"/>
      <c r="L14" s="309"/>
      <c r="M14" s="80"/>
      <c r="N14" s="80"/>
      <c r="O14" s="310" t="str">
        <f>IF(C30=0,"",IF(F14&lt;&gt;J14,"La nature de l'uo est différente par rapport à l'année précedente",""))</f>
        <v/>
      </c>
      <c r="P14" s="310"/>
      <c r="Q14" s="310"/>
      <c r="R14" s="310"/>
      <c r="S14" s="310"/>
      <c r="T14" s="310"/>
      <c r="U14" s="310"/>
      <c r="V14" s="310"/>
      <c r="W14" s="80"/>
      <c r="X14" s="80"/>
      <c r="Y14" s="80"/>
      <c r="Z14" s="80"/>
      <c r="AA14" s="80"/>
    </row>
    <row r="15" spans="2:29" ht="48" customHeight="1" x14ac:dyDescent="0.2">
      <c r="B15" s="76"/>
      <c r="C15" s="83"/>
      <c r="D15" s="83" t="s">
        <v>96</v>
      </c>
      <c r="F15" s="307" t="str">
        <f>HLOOKUP($B$9,'SAISIE DES DONNEES LM'!$D$4:$Y$140,31,FALSE)</f>
        <v>Totalement internalisé</v>
      </c>
      <c r="G15" s="308"/>
      <c r="H15" s="309"/>
      <c r="I15" s="84"/>
      <c r="J15" s="307" t="str">
        <f>HLOOKUP($B$9,'SAISIE DES DONNEES LM'!$D$4:$Y$140,94,FALSE)</f>
        <v>Totalement internalisé</v>
      </c>
      <c r="K15" s="308"/>
      <c r="L15" s="309"/>
      <c r="M15" s="80"/>
      <c r="N15" s="80"/>
      <c r="O15" s="310" t="str">
        <f>IF(F15&lt;&gt;J15,"Le mode de fonctionnement a évolué par rapport à l'année précédente","")</f>
        <v/>
      </c>
      <c r="P15" s="310"/>
      <c r="Q15" s="310"/>
      <c r="R15" s="310"/>
      <c r="S15" s="310"/>
      <c r="T15" s="310"/>
      <c r="U15" s="310"/>
      <c r="V15" s="310"/>
      <c r="W15" s="80"/>
      <c r="X15" s="80"/>
      <c r="Y15" s="80"/>
      <c r="Z15" s="80"/>
      <c r="AA15" s="80"/>
    </row>
    <row r="16" spans="2:29" ht="25.2" customHeight="1" x14ac:dyDescent="0.2">
      <c r="B16" s="314" t="str">
        <f>IF(C30=0,"La section d'analyse sélectionnée n'a pas été renseignée par l'établissement",IF(C14&lt;&gt;F14,"La nature d'UO est différente de celle demandée par le recueil RTC : la comparaison avec le référentiel ne sera pas possible",""))</f>
        <v/>
      </c>
      <c r="C16" s="314"/>
      <c r="D16" s="314"/>
      <c r="E16" s="314"/>
      <c r="F16" s="314"/>
      <c r="G16" s="314"/>
      <c r="H16" s="314"/>
      <c r="I16" s="314"/>
      <c r="J16" s="314"/>
      <c r="K16" s="314"/>
      <c r="L16" s="314"/>
      <c r="M16" s="314"/>
      <c r="N16" s="314"/>
      <c r="O16" s="314"/>
      <c r="P16" s="314"/>
      <c r="Q16" s="314"/>
      <c r="R16" s="314"/>
    </row>
    <row r="17" spans="2:27" ht="23.4" x14ac:dyDescent="0.2">
      <c r="B17" s="267" t="s">
        <v>97</v>
      </c>
      <c r="C17" s="268"/>
      <c r="D17" s="268"/>
      <c r="E17" s="268"/>
      <c r="F17" s="268"/>
      <c r="G17" s="268"/>
      <c r="H17" s="268"/>
      <c r="I17" s="268"/>
      <c r="J17" s="268"/>
      <c r="K17" s="268"/>
      <c r="L17" s="268"/>
      <c r="M17" s="268"/>
      <c r="N17" s="268"/>
      <c r="O17" s="268"/>
      <c r="P17" s="268"/>
      <c r="Q17" s="268"/>
      <c r="R17" s="268"/>
      <c r="S17" s="85"/>
      <c r="T17" s="85"/>
      <c r="U17" s="85"/>
      <c r="V17" s="85"/>
      <c r="W17" s="85"/>
      <c r="X17" s="85"/>
      <c r="Y17" s="85"/>
      <c r="Z17" s="85"/>
      <c r="AA17" s="85"/>
    </row>
    <row r="18" spans="2:27" ht="19.5" customHeight="1" x14ac:dyDescent="0.2">
      <c r="F18" s="86" t="s">
        <v>98</v>
      </c>
      <c r="G18" s="87"/>
      <c r="H18" s="86" t="s">
        <v>99</v>
      </c>
      <c r="I18" s="86"/>
      <c r="J18" s="86" t="s">
        <v>98</v>
      </c>
      <c r="K18" s="87"/>
      <c r="L18" s="86" t="s">
        <v>99</v>
      </c>
      <c r="M18" s="80"/>
      <c r="N18" s="80"/>
      <c r="O18" s="315" t="s">
        <v>98</v>
      </c>
      <c r="P18" s="315"/>
      <c r="Q18" s="80"/>
      <c r="R18" s="80"/>
      <c r="S18" s="80"/>
      <c r="T18" s="80"/>
      <c r="U18" s="80"/>
      <c r="V18" s="80"/>
      <c r="W18" s="80"/>
      <c r="X18" s="80"/>
      <c r="Y18" s="80"/>
      <c r="Z18" s="80"/>
      <c r="AA18" s="80"/>
    </row>
    <row r="19" spans="2:27" ht="14.4" x14ac:dyDescent="0.2">
      <c r="C19" s="88" t="s">
        <v>100</v>
      </c>
      <c r="D19" s="89"/>
      <c r="F19" s="90">
        <f>HLOOKUP($B$9,'SAISIE DES DONNEES LM'!$D$4:$Y$140,2,FALSE)</f>
        <v>373857.51</v>
      </c>
      <c r="G19" s="80"/>
      <c r="H19" s="91">
        <f>IFERROR(F19/$F$13,"")</f>
        <v>0.19473520242730458</v>
      </c>
      <c r="I19" s="92">
        <f>IFERROR(H19/$F$11,"")</f>
        <v>0.79146859090829702</v>
      </c>
      <c r="J19" s="90">
        <f>HLOOKUP($B$9,'SAISIE DES DONNEES LM'!$D$4:$Y$140,65,FALSE)</f>
        <v>396547.08999999997</v>
      </c>
      <c r="K19" s="80"/>
      <c r="L19" s="91">
        <f>IFERROR(J19/$J$13,"")</f>
        <v>0.2075472761673475</v>
      </c>
      <c r="M19" s="93">
        <f>IFERROR(L19/$J$11,"")</f>
        <v>0.84818418379314009</v>
      </c>
      <c r="N19" s="94"/>
      <c r="O19" s="95">
        <f>IFERROR(F19/J19-1,"")</f>
        <v>-5.7217870392139214E-2</v>
      </c>
      <c r="P19" s="96">
        <f>IFERROR(F19-J19,"")</f>
        <v>-22689.579999999958</v>
      </c>
      <c r="Q19" s="94"/>
      <c r="R19" s="94"/>
      <c r="S19" s="94"/>
      <c r="T19" s="94"/>
      <c r="U19" s="94"/>
      <c r="V19" s="94"/>
      <c r="W19" s="94"/>
      <c r="X19" s="94"/>
      <c r="Y19" s="94"/>
      <c r="Z19" s="94"/>
      <c r="AA19" s="94"/>
    </row>
    <row r="20" spans="2:27" ht="14.4" x14ac:dyDescent="0.2">
      <c r="C20" s="97"/>
      <c r="D20" s="98" t="s">
        <v>101</v>
      </c>
      <c r="E20" s="99"/>
      <c r="F20" s="100">
        <f>HLOOKUP($B$9,'SAISIE DES DONNEES LM'!$D$4:$Y$140,5,FALSE)</f>
        <v>38161.870000000003</v>
      </c>
      <c r="G20" s="101"/>
      <c r="H20" s="102">
        <f t="shared" ref="H20:H28" si="0">IFERROR(F20/$F$13,"")</f>
        <v>1.9877785735679034E-2</v>
      </c>
      <c r="I20" s="92">
        <f t="shared" ref="I20:I28" si="1">IFERROR(H20/$F$11,"")</f>
        <v>8.0789928428415453E-2</v>
      </c>
      <c r="J20" s="100">
        <f>HLOOKUP($B$9,'SAISIE DES DONNEES LM'!$D$4:$Y$140,68,FALSE)</f>
        <v>37950.22</v>
      </c>
      <c r="K20" s="101"/>
      <c r="L20" s="102">
        <f t="shared" ref="L20:L28" si="2">IFERROR(J20/$J$13,"")</f>
        <v>1.9862621589157532E-2</v>
      </c>
      <c r="M20" s="93">
        <f t="shared" ref="M20:M28" si="3">IFERROR(L20/$J$11,"")</f>
        <v>8.1172645537431892E-2</v>
      </c>
      <c r="N20" s="103"/>
      <c r="O20" s="104">
        <f t="shared" ref="O20:O28" si="4">IFERROR(F20/J20-1,"")</f>
        <v>5.5770427681316459E-3</v>
      </c>
      <c r="P20" s="105">
        <f t="shared" ref="P20:P32" si="5">IFERROR(F20-J20,"")</f>
        <v>211.65000000000146</v>
      </c>
      <c r="Q20" s="94"/>
      <c r="R20" s="94"/>
      <c r="S20" s="94"/>
      <c r="T20" s="94"/>
      <c r="U20" s="94"/>
      <c r="V20" s="94"/>
      <c r="W20" s="94"/>
      <c r="X20" s="94"/>
      <c r="Y20" s="94"/>
      <c r="Z20" s="94"/>
      <c r="AA20" s="94"/>
    </row>
    <row r="21" spans="2:27" ht="14.4" x14ac:dyDescent="0.2">
      <c r="C21" s="97"/>
      <c r="D21" s="98" t="s">
        <v>102</v>
      </c>
      <c r="E21" s="99"/>
      <c r="F21" s="100">
        <f>HLOOKUP($B$9,'SAISIE DES DONNEES LM'!$D$4:$Y$140,6,FALSE)</f>
        <v>0</v>
      </c>
      <c r="G21" s="101"/>
      <c r="H21" s="102">
        <f t="shared" si="0"/>
        <v>0</v>
      </c>
      <c r="I21" s="92">
        <f t="shared" si="1"/>
        <v>0</v>
      </c>
      <c r="J21" s="100">
        <f>HLOOKUP($B$9,'SAISIE DES DONNEES LM'!$D$4:$Y$140,69,FALSE)</f>
        <v>0</v>
      </c>
      <c r="K21" s="101"/>
      <c r="L21" s="102">
        <f t="shared" si="2"/>
        <v>0</v>
      </c>
      <c r="M21" s="93">
        <f t="shared" si="3"/>
        <v>0</v>
      </c>
      <c r="N21" s="103"/>
      <c r="O21" s="104" t="str">
        <f t="shared" si="4"/>
        <v/>
      </c>
      <c r="P21" s="105">
        <f t="shared" si="5"/>
        <v>0</v>
      </c>
      <c r="Q21" s="94"/>
      <c r="R21" s="94"/>
      <c r="S21" s="94"/>
      <c r="T21" s="94"/>
      <c r="U21" s="94"/>
      <c r="V21" s="94"/>
      <c r="W21" s="94"/>
      <c r="X21" s="94"/>
      <c r="Y21" s="94"/>
      <c r="Z21" s="94"/>
      <c r="AA21" s="94"/>
    </row>
    <row r="22" spans="2:27" ht="14.4" x14ac:dyDescent="0.2">
      <c r="C22" s="97"/>
      <c r="D22" s="98" t="s">
        <v>103</v>
      </c>
      <c r="E22" s="99"/>
      <c r="F22" s="100">
        <f>HLOOKUP($B$9,'SAISIE DES DONNEES LM'!$D$4:$Y$140,4,FALSE)</f>
        <v>0</v>
      </c>
      <c r="G22" s="101"/>
      <c r="H22" s="102">
        <f t="shared" si="0"/>
        <v>0</v>
      </c>
      <c r="I22" s="92">
        <f t="shared" si="1"/>
        <v>0</v>
      </c>
      <c r="J22" s="100">
        <f>HLOOKUP($B$9,'SAISIE DES DONNEES LM'!$D$4:$Y$140,67,FALSE)</f>
        <v>0</v>
      </c>
      <c r="K22" s="101"/>
      <c r="L22" s="102">
        <f t="shared" si="2"/>
        <v>0</v>
      </c>
      <c r="M22" s="93">
        <f t="shared" si="3"/>
        <v>0</v>
      </c>
      <c r="N22" s="103"/>
      <c r="O22" s="104" t="str">
        <f t="shared" si="4"/>
        <v/>
      </c>
      <c r="P22" s="105">
        <f t="shared" si="5"/>
        <v>0</v>
      </c>
      <c r="Q22" s="94"/>
      <c r="R22" s="94"/>
      <c r="S22" s="94"/>
      <c r="T22" s="94"/>
      <c r="U22" s="94"/>
      <c r="V22" s="94"/>
      <c r="W22" s="94"/>
      <c r="X22" s="94"/>
      <c r="Y22" s="94"/>
      <c r="Z22" s="94"/>
      <c r="AA22" s="94"/>
    </row>
    <row r="23" spans="2:27" ht="14.4" x14ac:dyDescent="0.2">
      <c r="C23" s="97"/>
      <c r="D23" s="98" t="s">
        <v>104</v>
      </c>
      <c r="E23" s="99"/>
      <c r="F23" s="100">
        <f>HLOOKUP($B$9,'SAISIE DES DONNEES LM'!$D$4:$Y$140,12,FALSE)</f>
        <v>335695.64</v>
      </c>
      <c r="G23" s="101"/>
      <c r="H23" s="102">
        <f t="shared" si="0"/>
        <v>0.17485741669162555</v>
      </c>
      <c r="I23" s="92">
        <f t="shared" si="1"/>
        <v>0.71067866247988165</v>
      </c>
      <c r="J23" s="100">
        <f>HLOOKUP($B$9,'SAISIE DES DONNEES LM'!$D$4:$Y$140,75,FALSE)</f>
        <v>358596.87</v>
      </c>
      <c r="K23" s="101"/>
      <c r="L23" s="102">
        <f t="shared" si="2"/>
        <v>0.18768465457818997</v>
      </c>
      <c r="M23" s="93">
        <f t="shared" si="3"/>
        <v>0.76701153825570823</v>
      </c>
      <c r="N23" s="103"/>
      <c r="O23" s="104">
        <f t="shared" si="4"/>
        <v>-6.3863440860484899E-2</v>
      </c>
      <c r="P23" s="105">
        <f t="shared" si="5"/>
        <v>-22901.229999999981</v>
      </c>
      <c r="Q23" s="94"/>
      <c r="R23" s="94"/>
      <c r="S23" s="94"/>
      <c r="T23" s="94"/>
      <c r="U23" s="94"/>
      <c r="V23" s="94"/>
      <c r="W23" s="94"/>
      <c r="X23" s="94"/>
      <c r="Y23" s="94"/>
      <c r="Z23" s="94"/>
      <c r="AA23" s="94"/>
    </row>
    <row r="24" spans="2:27" ht="14.4" x14ac:dyDescent="0.2">
      <c r="C24" s="106"/>
      <c r="D24" s="98" t="s">
        <v>105</v>
      </c>
      <c r="E24" s="99"/>
      <c r="F24" s="100">
        <f>HLOOKUP($B$9,'SAISIE DES DONNEES LM'!$D$4:$Y$140,13,FALSE)</f>
        <v>0</v>
      </c>
      <c r="G24" s="101"/>
      <c r="H24" s="102">
        <f t="shared" si="0"/>
        <v>0</v>
      </c>
      <c r="I24" s="92">
        <f t="shared" si="1"/>
        <v>0</v>
      </c>
      <c r="J24" s="100">
        <f>HLOOKUP($B$9,'SAISIE DES DONNEES LM'!$D$4:$Y$140,76,FALSE)</f>
        <v>0</v>
      </c>
      <c r="K24" s="101"/>
      <c r="L24" s="102">
        <f t="shared" si="2"/>
        <v>0</v>
      </c>
      <c r="M24" s="93">
        <f t="shared" si="3"/>
        <v>0</v>
      </c>
      <c r="N24" s="103"/>
      <c r="O24" s="104" t="str">
        <f t="shared" si="4"/>
        <v/>
      </c>
      <c r="P24" s="105">
        <f t="shared" si="5"/>
        <v>0</v>
      </c>
      <c r="Q24" s="94"/>
      <c r="R24" s="94"/>
      <c r="S24" s="94"/>
      <c r="T24" s="94"/>
      <c r="U24" s="94"/>
      <c r="V24" s="94"/>
      <c r="W24" s="94"/>
      <c r="X24" s="94"/>
      <c r="Y24" s="94"/>
      <c r="Z24" s="94"/>
      <c r="AA24" s="94"/>
    </row>
    <row r="25" spans="2:27" ht="14.4" x14ac:dyDescent="0.2">
      <c r="C25" s="107" t="s">
        <v>106</v>
      </c>
      <c r="D25" s="108"/>
      <c r="F25" s="109">
        <f>HLOOKUP($B$9,'SAISIE DES DONNEES LM'!$D$4:$Y$140,14,FALSE)</f>
        <v>74775.009999999995</v>
      </c>
      <c r="G25" s="80"/>
      <c r="H25" s="110">
        <f t="shared" si="0"/>
        <v>3.894886773534046E-2</v>
      </c>
      <c r="I25" s="92">
        <f t="shared" si="1"/>
        <v>0.15830114473253143</v>
      </c>
      <c r="J25" s="109">
        <f>HLOOKUP($B$9,'SAISIE DES DONNEES LM'!$D$4:$Y$140,77,FALSE)</f>
        <v>43134.78</v>
      </c>
      <c r="K25" s="80"/>
      <c r="L25" s="110">
        <f t="shared" si="2"/>
        <v>2.2576148767294642E-2</v>
      </c>
      <c r="M25" s="93">
        <f t="shared" si="3"/>
        <v>9.2262026604196384E-2</v>
      </c>
      <c r="N25" s="94"/>
      <c r="O25" s="104">
        <f t="shared" si="4"/>
        <v>0.73352014314203062</v>
      </c>
      <c r="P25" s="111">
        <f t="shared" si="5"/>
        <v>31640.229999999996</v>
      </c>
      <c r="Q25" s="94"/>
      <c r="R25" s="94"/>
      <c r="S25" s="94"/>
      <c r="T25" s="94"/>
      <c r="U25" s="94"/>
      <c r="V25" s="94"/>
      <c r="W25" s="94"/>
      <c r="X25" s="94"/>
      <c r="Y25" s="94"/>
      <c r="Z25" s="94"/>
      <c r="AA25" s="94"/>
    </row>
    <row r="26" spans="2:27" ht="14.4" x14ac:dyDescent="0.2">
      <c r="C26" s="107" t="s">
        <v>107</v>
      </c>
      <c r="D26" s="98"/>
      <c r="F26" s="109">
        <f>HLOOKUP($B$9,'SAISIE DES DONNEES LM'!$D$4:$Y$140,15,FALSE)</f>
        <v>189.76</v>
      </c>
      <c r="G26" s="80"/>
      <c r="H26" s="110">
        <f t="shared" si="0"/>
        <v>9.884234240100009E-5</v>
      </c>
      <c r="I26" s="92">
        <f t="shared" si="1"/>
        <v>4.0172813383034206E-4</v>
      </c>
      <c r="J26" s="109">
        <f>HLOOKUP($B$9,'SAISIE DES DONNEES LM'!$D$4:$Y$140,78,FALSE)</f>
        <v>147.13</v>
      </c>
      <c r="K26" s="80"/>
      <c r="L26" s="110">
        <f t="shared" si="2"/>
        <v>7.700581220379612E-5</v>
      </c>
      <c r="M26" s="93">
        <f t="shared" si="3"/>
        <v>3.1469992368746093E-4</v>
      </c>
      <c r="N26" s="94"/>
      <c r="O26" s="104">
        <f t="shared" si="4"/>
        <v>0.28974376401821522</v>
      </c>
      <c r="P26" s="111">
        <f t="shared" si="5"/>
        <v>42.629999999999995</v>
      </c>
      <c r="Q26" s="94"/>
      <c r="R26" s="94"/>
      <c r="S26" s="94"/>
      <c r="T26" s="94"/>
      <c r="U26" s="94"/>
      <c r="V26" s="94"/>
      <c r="W26" s="94"/>
      <c r="X26" s="94"/>
      <c r="Y26" s="94"/>
      <c r="Z26" s="94"/>
      <c r="AA26" s="94"/>
    </row>
    <row r="27" spans="2:27" ht="14.4" x14ac:dyDescent="0.2">
      <c r="C27" s="97" t="s">
        <v>108</v>
      </c>
      <c r="D27" s="98"/>
      <c r="F27" s="109">
        <f>HLOOKUP($B$9,'SAISIE DES DONNEES LM'!$D$4:$Y$140,16,FALSE)</f>
        <v>23536.97</v>
      </c>
      <c r="G27" s="80"/>
      <c r="H27" s="110">
        <f t="shared" si="0"/>
        <v>1.2259955985571603E-2</v>
      </c>
      <c r="I27" s="92">
        <f t="shared" si="1"/>
        <v>4.9828536225341204E-2</v>
      </c>
      <c r="J27" s="109">
        <f>HLOOKUP($B$9,'SAISIE DES DONNEES LM'!$D$4:$Y$140,79,FALSE)</f>
        <v>27695.74</v>
      </c>
      <c r="K27" s="80"/>
      <c r="L27" s="110">
        <f t="shared" si="2"/>
        <v>1.4495568227317098E-2</v>
      </c>
      <c r="M27" s="93">
        <f t="shared" si="3"/>
        <v>5.9239089678976141E-2</v>
      </c>
      <c r="N27" s="94"/>
      <c r="O27" s="104">
        <f t="shared" si="4"/>
        <v>-0.15015919415765744</v>
      </c>
      <c r="P27" s="111">
        <f t="shared" si="5"/>
        <v>-4158.7700000000004</v>
      </c>
      <c r="Q27" s="94"/>
      <c r="R27" s="94"/>
      <c r="S27" s="94"/>
      <c r="T27" s="94"/>
      <c r="U27" s="94"/>
      <c r="V27" s="94"/>
      <c r="W27" s="94"/>
      <c r="X27" s="94"/>
      <c r="Y27" s="94"/>
      <c r="Z27" s="94"/>
      <c r="AA27" s="94"/>
    </row>
    <row r="28" spans="2:27" ht="14.4" x14ac:dyDescent="0.2">
      <c r="C28" s="112"/>
      <c r="D28" s="113" t="s">
        <v>109</v>
      </c>
      <c r="E28" s="99"/>
      <c r="F28" s="114">
        <f>HLOOKUP($B$9,'SAISIE DES DONNEES LM'!$D$4:$Y$140,26,FALSE)</f>
        <v>2212.12</v>
      </c>
      <c r="G28" s="101"/>
      <c r="H28" s="114">
        <f t="shared" si="0"/>
        <v>1.1522508561978306E-3</v>
      </c>
      <c r="I28" s="92">
        <f t="shared" si="1"/>
        <v>4.6831304774914437E-3</v>
      </c>
      <c r="J28" s="114">
        <f>HLOOKUP($B$9,'SAISIE DES DONNEES LM'!$D$4:$Y$140,89,FALSE)</f>
        <v>3400.3500000000004</v>
      </c>
      <c r="K28" s="101"/>
      <c r="L28" s="114">
        <f t="shared" si="2"/>
        <v>1.7796962789857825E-3</v>
      </c>
      <c r="M28" s="93">
        <f t="shared" si="3"/>
        <v>7.2730910454064969E-3</v>
      </c>
      <c r="N28" s="103"/>
      <c r="O28" s="115">
        <f t="shared" si="4"/>
        <v>-0.34944343964591895</v>
      </c>
      <c r="P28" s="116">
        <f t="shared" si="5"/>
        <v>-1188.2300000000005</v>
      </c>
      <c r="Q28" s="94"/>
      <c r="R28" s="94"/>
      <c r="S28" s="94"/>
      <c r="T28" s="94"/>
      <c r="U28" s="94"/>
      <c r="V28" s="94"/>
      <c r="W28" s="94"/>
      <c r="X28" s="94"/>
      <c r="Y28" s="94"/>
      <c r="Z28" s="94"/>
      <c r="AA28" s="94"/>
    </row>
    <row r="29" spans="2:27" ht="4.5" customHeight="1" x14ac:dyDescent="0.2">
      <c r="C29" s="117"/>
      <c r="D29" s="118"/>
      <c r="F29" s="119"/>
      <c r="G29" s="80"/>
      <c r="H29" s="120"/>
      <c r="I29" s="120"/>
      <c r="J29" s="119"/>
      <c r="K29" s="80"/>
      <c r="L29" s="120"/>
      <c r="M29" s="80"/>
      <c r="N29" s="80"/>
      <c r="O29" s="63"/>
      <c r="P29" s="121"/>
      <c r="Q29" s="80"/>
      <c r="R29" s="80"/>
      <c r="S29" s="80"/>
      <c r="T29" s="80"/>
      <c r="U29" s="80"/>
      <c r="V29" s="80"/>
      <c r="W29" s="80"/>
      <c r="X29" s="80"/>
      <c r="Y29" s="80"/>
      <c r="Z29" s="80"/>
      <c r="AA29" s="80"/>
    </row>
    <row r="30" spans="2:27" ht="14.4" x14ac:dyDescent="0.2">
      <c r="C30" s="122">
        <f>HLOOKUP($B$9,'SAISIE DES DONNEES LM'!$D$4:$Y$128,20,FALSE)</f>
        <v>472359.25</v>
      </c>
      <c r="D30" s="123" t="s">
        <v>110</v>
      </c>
      <c r="F30" s="124">
        <f>IFERROR(F19+F25+F26+F27,"")</f>
        <v>472359.25</v>
      </c>
      <c r="G30" s="87"/>
      <c r="H30" s="125">
        <f>IFERROR(F30/$F$13,"")</f>
        <v>0.24604286849061763</v>
      </c>
      <c r="I30" s="126"/>
      <c r="J30" s="124">
        <f>IFERROR(J19+J25+J26+J27,"")</f>
        <v>467524.74</v>
      </c>
      <c r="K30" s="87"/>
      <c r="L30" s="125">
        <f>IFERROR(J30/$J$13,"")</f>
        <v>0.24469599897416303</v>
      </c>
      <c r="O30" s="73">
        <f>IFERROR(F30/J30-1,"")</f>
        <v>1.0340650635942916E-2</v>
      </c>
      <c r="P30" s="127">
        <f t="shared" ref="P30" si="6">IFERROR(F30-J30,"")</f>
        <v>4834.5100000000093</v>
      </c>
    </row>
    <row r="31" spans="2:27" ht="14.4" x14ac:dyDescent="0.2">
      <c r="C31" s="70"/>
      <c r="D31" s="128" t="s">
        <v>111</v>
      </c>
      <c r="E31" s="129"/>
      <c r="F31" s="130">
        <f>IFERROR(F19+F25+F26+F27-F28,"")</f>
        <v>470147.13</v>
      </c>
      <c r="G31" s="131"/>
      <c r="H31" s="132">
        <f>IFERROR(F31/$F$13,"")</f>
        <v>0.2448906176344198</v>
      </c>
      <c r="I31" s="133"/>
      <c r="J31" s="130">
        <f>IFERROR(J19+J25+J26+J27-J28,"")</f>
        <v>464124.39</v>
      </c>
      <c r="K31" s="131"/>
      <c r="L31" s="132">
        <f>IFERROR(J31/$J$13,"")</f>
        <v>0.24291630269517728</v>
      </c>
      <c r="M31" s="129"/>
      <c r="N31" s="129"/>
      <c r="O31" s="134">
        <f>IFERROR(F31/J31-1,"")</f>
        <v>1.2976564321474315E-2</v>
      </c>
      <c r="P31" s="135">
        <f t="shared" si="5"/>
        <v>6022.7399999999907</v>
      </c>
    </row>
    <row r="32" spans="2:27" ht="14.4" x14ac:dyDescent="0.2">
      <c r="C32" s="70"/>
      <c r="D32" s="136" t="s">
        <v>57</v>
      </c>
      <c r="E32" s="137"/>
      <c r="F32" s="138">
        <f>HLOOKUP($B$9,'SAISIE DES DONNEES LM'!$D$4:$Y$140,28,FALSE)</f>
        <v>0</v>
      </c>
      <c r="G32" s="137"/>
      <c r="H32" s="137"/>
      <c r="I32" s="137"/>
      <c r="J32" s="138">
        <f>HLOOKUP($B$9,'SAISIE DES DONNEES LM'!$D$4:$Y$140,91,FALSE)</f>
        <v>0</v>
      </c>
      <c r="K32" s="137"/>
      <c r="L32" s="137"/>
      <c r="M32" s="137"/>
      <c r="N32" s="137"/>
      <c r="O32" s="134" t="str">
        <f>IFERROR(F32/J32-1,"")</f>
        <v/>
      </c>
      <c r="P32" s="135">
        <f t="shared" si="5"/>
        <v>0</v>
      </c>
    </row>
    <row r="33" spans="2:27" ht="4.5" customHeight="1" x14ac:dyDescent="0.2">
      <c r="C33" s="70"/>
      <c r="D33" s="139"/>
    </row>
    <row r="34" spans="2:27" ht="4.5" customHeight="1" x14ac:dyDescent="0.2"/>
    <row r="35" spans="2:27" ht="4.5" customHeight="1" x14ac:dyDescent="0.2">
      <c r="B35" s="140"/>
      <c r="C35" s="140"/>
      <c r="D35" s="140"/>
      <c r="E35" s="140"/>
      <c r="F35" s="140"/>
      <c r="G35" s="140"/>
      <c r="H35" s="140"/>
      <c r="I35" s="140"/>
      <c r="J35" s="140"/>
      <c r="K35" s="140"/>
      <c r="L35" s="140"/>
      <c r="M35" s="140"/>
      <c r="N35" s="140"/>
      <c r="O35" s="140"/>
      <c r="P35" s="141"/>
      <c r="Q35" s="140"/>
      <c r="R35" s="140"/>
      <c r="S35" s="140"/>
      <c r="T35" s="140"/>
      <c r="U35" s="140"/>
      <c r="V35" s="140"/>
      <c r="W35" s="140"/>
      <c r="X35" s="140"/>
      <c r="Y35" s="140"/>
      <c r="Z35" s="140"/>
      <c r="AA35" s="140"/>
    </row>
    <row r="36" spans="2:27" ht="25.5" customHeight="1" x14ac:dyDescent="0.2">
      <c r="B36" s="267" t="s">
        <v>112</v>
      </c>
      <c r="C36" s="268"/>
      <c r="D36" s="268"/>
      <c r="E36" s="268"/>
      <c r="F36" s="268"/>
      <c r="G36" s="268"/>
      <c r="H36" s="268"/>
      <c r="I36" s="268"/>
      <c r="J36" s="268"/>
      <c r="K36" s="268"/>
      <c r="L36" s="268"/>
      <c r="M36" s="268"/>
      <c r="N36" s="268"/>
      <c r="O36" s="268"/>
      <c r="P36" s="268"/>
      <c r="Q36" s="268"/>
      <c r="R36" s="268"/>
      <c r="S36" s="85"/>
      <c r="T36" s="85"/>
      <c r="U36" s="85"/>
      <c r="V36" s="85"/>
      <c r="W36" s="85"/>
      <c r="X36" s="85"/>
      <c r="Y36" s="85"/>
      <c r="Z36" s="85"/>
      <c r="AA36" s="85"/>
    </row>
    <row r="37" spans="2:27" ht="15" customHeight="1" x14ac:dyDescent="0.2"/>
    <row r="38" spans="2:27" ht="14.4" x14ac:dyDescent="0.2">
      <c r="B38" s="311" t="s">
        <v>113</v>
      </c>
      <c r="C38" s="88" t="s">
        <v>114</v>
      </c>
      <c r="D38" s="142"/>
      <c r="F38" s="143">
        <f>HLOOKUP($B$9,'SAISIE DES DONNEES LM'!$D$4:$Y$140,41,FALSE)</f>
        <v>0.29820000000000002</v>
      </c>
      <c r="G38" s="144"/>
      <c r="H38" s="145"/>
      <c r="I38" s="145"/>
      <c r="J38" s="143">
        <f>HLOOKUP($B$9,'SAISIE DES DONNEES LM'!$D$4:$Y$140,104,FALSE)</f>
        <v>0.29799999999999999</v>
      </c>
      <c r="K38" s="144"/>
      <c r="L38" s="145"/>
      <c r="M38" s="80"/>
      <c r="N38" s="80"/>
      <c r="O38" s="95">
        <f t="shared" ref="O38:O40" si="7">IFERROR(F38/J38-1,"")</f>
        <v>6.7114093959741439E-4</v>
      </c>
      <c r="P38" s="146">
        <f t="shared" ref="P38:P40" si="8">IFERROR(F38-J38,"")</f>
        <v>2.0000000000003348E-4</v>
      </c>
      <c r="Q38" s="80"/>
      <c r="R38" s="80"/>
      <c r="S38" s="80"/>
      <c r="T38" s="80"/>
      <c r="U38" s="80"/>
      <c r="V38" s="80"/>
      <c r="W38" s="80"/>
      <c r="X38" s="80"/>
      <c r="Y38" s="80"/>
      <c r="Z38" s="80"/>
      <c r="AA38" s="80"/>
    </row>
    <row r="39" spans="2:27" ht="14.4" x14ac:dyDescent="0.2">
      <c r="B39" s="312"/>
      <c r="C39" s="107" t="s">
        <v>115</v>
      </c>
      <c r="D39" s="108"/>
      <c r="F39" s="207">
        <f>HLOOKUP($B$9,'SAISIE DES DONNEES LM'!$D$4:$Y$140,42,FALSE)</f>
        <v>127974.0778</v>
      </c>
      <c r="G39" s="80"/>
      <c r="H39" s="80"/>
      <c r="I39" s="80"/>
      <c r="J39" s="207">
        <f>HLOOKUP($B$9,'SAISIE DES DONNEES LM'!$D$4:$Y$140,105,FALSE)</f>
        <v>127349.73149999999</v>
      </c>
      <c r="K39" s="80"/>
      <c r="L39" s="80"/>
      <c r="M39" s="147"/>
      <c r="N39" s="147"/>
      <c r="O39" s="104">
        <f t="shared" si="7"/>
        <v>4.9026118284356546E-3</v>
      </c>
      <c r="P39" s="111">
        <f t="shared" si="8"/>
        <v>624.3463000000047</v>
      </c>
      <c r="Q39" s="147"/>
      <c r="R39" s="148">
        <f>HLOOKUP($B$9,'SAISIE DES DONNEES LM'!$D$4:$Y$140,36,FALSE)</f>
        <v>121293.26151</v>
      </c>
      <c r="S39" s="147"/>
      <c r="T39" s="147"/>
      <c r="U39" s="147"/>
      <c r="V39" s="147"/>
      <c r="W39" s="147"/>
      <c r="X39" s="147"/>
      <c r="Y39" s="147"/>
      <c r="Z39" s="147"/>
      <c r="AA39" s="147"/>
    </row>
    <row r="40" spans="2:27" ht="14.4" x14ac:dyDescent="0.2">
      <c r="B40" s="313"/>
      <c r="C40" s="149" t="s">
        <v>116</v>
      </c>
      <c r="D40" s="150"/>
      <c r="F40" s="151">
        <f>IFERROR($F$13/F38,"")</f>
        <v>6438044.9362843726</v>
      </c>
      <c r="G40" s="152"/>
      <c r="H40" s="152"/>
      <c r="I40" s="152"/>
      <c r="J40" s="151">
        <f>IFERROR($J$13/J38,"")</f>
        <v>6411526.8456375841</v>
      </c>
      <c r="K40" s="152"/>
      <c r="L40" s="152"/>
      <c r="M40" s="147"/>
      <c r="N40" s="147"/>
      <c r="O40" s="153">
        <f t="shared" si="7"/>
        <v>4.1360024351815294E-3</v>
      </c>
      <c r="P40" s="154">
        <f t="shared" si="8"/>
        <v>26518.090646788478</v>
      </c>
      <c r="Q40" s="147"/>
      <c r="R40" s="147"/>
      <c r="S40" s="147"/>
      <c r="T40" s="147"/>
      <c r="U40" s="147"/>
      <c r="V40" s="147"/>
      <c r="W40" s="147"/>
      <c r="X40" s="147"/>
      <c r="Y40" s="147"/>
      <c r="Z40" s="147"/>
      <c r="AA40" s="147"/>
    </row>
    <row r="41" spans="2:27" ht="15" customHeight="1" x14ac:dyDescent="0.2">
      <c r="B41" s="155"/>
      <c r="C41" s="70"/>
      <c r="D41" s="118"/>
      <c r="F41" s="79"/>
      <c r="G41" s="79"/>
      <c r="H41" s="79"/>
      <c r="I41" s="79"/>
      <c r="J41" s="79"/>
      <c r="K41" s="79"/>
      <c r="L41" s="79"/>
      <c r="M41" s="147"/>
      <c r="N41" s="147"/>
      <c r="O41" s="156"/>
      <c r="P41" s="156"/>
      <c r="Q41" s="147"/>
      <c r="R41" s="147"/>
      <c r="S41" s="147"/>
      <c r="T41" s="147"/>
      <c r="U41" s="147"/>
      <c r="V41" s="147"/>
      <c r="W41" s="147"/>
      <c r="X41" s="147"/>
      <c r="Y41" s="147"/>
      <c r="Z41" s="147"/>
      <c r="AA41" s="147"/>
    </row>
    <row r="42" spans="2:27" ht="14.4" x14ac:dyDescent="0.2">
      <c r="B42" s="311" t="s">
        <v>117</v>
      </c>
      <c r="C42" s="88" t="s">
        <v>118</v>
      </c>
      <c r="D42" s="142"/>
      <c r="F42" s="143">
        <f>HLOOKUP($B$9,'SAISIE DES DONNEES LM'!$D$4:$Y$140,45,FALSE)</f>
        <v>0</v>
      </c>
      <c r="G42" s="144"/>
      <c r="H42" s="145"/>
      <c r="I42" s="145"/>
      <c r="J42" s="143">
        <f>HLOOKUP($B$9,'SAISIE DES DONNEES LM'!$D$4:$Y$140,108,FALSE)</f>
        <v>0</v>
      </c>
      <c r="K42" s="144"/>
      <c r="L42" s="145"/>
      <c r="M42" s="80"/>
      <c r="N42" s="80"/>
      <c r="O42" s="95" t="str">
        <f t="shared" ref="O42:O44" si="9">IFERROR(F42/J42-1,"")</f>
        <v/>
      </c>
      <c r="P42" s="146">
        <f t="shared" ref="P42:P44" si="10">IFERROR(F42-J42,"")</f>
        <v>0</v>
      </c>
      <c r="Q42" s="80"/>
      <c r="R42" s="80"/>
      <c r="S42" s="80"/>
      <c r="T42" s="80"/>
      <c r="U42" s="80"/>
      <c r="V42" s="80"/>
      <c r="W42" s="80"/>
      <c r="X42" s="80"/>
      <c r="Y42" s="80"/>
      <c r="Z42" s="80"/>
      <c r="AA42" s="80"/>
    </row>
    <row r="43" spans="2:27" ht="14.4" x14ac:dyDescent="0.2">
      <c r="B43" s="312"/>
      <c r="C43" s="107" t="s">
        <v>119</v>
      </c>
      <c r="D43" s="108"/>
      <c r="F43" s="207">
        <f>HLOOKUP($B$9,'SAISIE DES DONNEES LM'!$D$4:$Y$140,46,FALSE)</f>
        <v>0</v>
      </c>
      <c r="G43" s="80"/>
      <c r="H43" s="80"/>
      <c r="I43" s="80"/>
      <c r="J43" s="207">
        <f>HLOOKUP($B$9,'SAISIE DES DONNEES LM'!$D$4:$Y$140,109,FALSE)</f>
        <v>0</v>
      </c>
      <c r="K43" s="80"/>
      <c r="L43" s="80"/>
      <c r="M43" s="147"/>
      <c r="N43" s="147"/>
      <c r="O43" s="104" t="str">
        <f t="shared" si="9"/>
        <v/>
      </c>
      <c r="P43" s="111">
        <f t="shared" si="10"/>
        <v>0</v>
      </c>
      <c r="Q43" s="147"/>
      <c r="R43" s="147"/>
      <c r="S43" s="147"/>
      <c r="T43" s="147"/>
      <c r="U43" s="147"/>
      <c r="V43" s="147"/>
      <c r="W43" s="147"/>
      <c r="X43" s="147"/>
      <c r="Y43" s="147"/>
      <c r="Z43" s="147"/>
      <c r="AA43" s="147"/>
    </row>
    <row r="44" spans="2:27" ht="14.4" x14ac:dyDescent="0.2">
      <c r="B44" s="313"/>
      <c r="C44" s="149" t="s">
        <v>120</v>
      </c>
      <c r="D44" s="150"/>
      <c r="F44" s="151" t="str">
        <f>IFERROR($F$13/F42,"")</f>
        <v/>
      </c>
      <c r="G44" s="79"/>
      <c r="H44" s="79"/>
      <c r="I44" s="79"/>
      <c r="J44" s="151" t="str">
        <f>IFERROR($J$13/J42,"")</f>
        <v/>
      </c>
      <c r="K44" s="79"/>
      <c r="L44" s="79"/>
      <c r="M44" s="147"/>
      <c r="N44" s="147"/>
      <c r="O44" s="153" t="str">
        <f t="shared" si="9"/>
        <v/>
      </c>
      <c r="P44" s="154" t="str">
        <f t="shared" si="10"/>
        <v/>
      </c>
      <c r="Q44" s="147"/>
      <c r="R44" s="147"/>
      <c r="S44" s="147"/>
      <c r="T44" s="147"/>
      <c r="U44" s="147"/>
      <c r="V44" s="147"/>
      <c r="W44" s="147"/>
      <c r="X44" s="147"/>
      <c r="Y44" s="147"/>
      <c r="Z44" s="147"/>
      <c r="AA44" s="147"/>
    </row>
    <row r="45" spans="2:27" ht="14.4" x14ac:dyDescent="0.2">
      <c r="F45" s="80"/>
      <c r="G45" s="80"/>
      <c r="H45" s="80"/>
      <c r="I45" s="80"/>
      <c r="J45" s="80"/>
      <c r="K45" s="80"/>
      <c r="L45" s="80"/>
      <c r="M45" s="147"/>
      <c r="N45" s="147"/>
      <c r="O45" s="156"/>
      <c r="P45" s="156"/>
      <c r="Q45" s="147"/>
      <c r="R45" s="147"/>
      <c r="S45" s="147"/>
      <c r="T45" s="147"/>
      <c r="U45" s="147"/>
      <c r="V45" s="147"/>
      <c r="W45" s="147"/>
      <c r="X45" s="147"/>
      <c r="Y45" s="147"/>
      <c r="Z45" s="147"/>
      <c r="AA45" s="147"/>
    </row>
    <row r="46" spans="2:27" ht="14.4" x14ac:dyDescent="0.2">
      <c r="B46" s="311" t="s">
        <v>121</v>
      </c>
      <c r="C46" s="88" t="s">
        <v>122</v>
      </c>
      <c r="D46" s="142"/>
      <c r="F46" s="143">
        <f>HLOOKUP($B$9,'SAISIE DES DONNEES LM'!$D$4:$Y$140,57,FALSE)</f>
        <v>7.28</v>
      </c>
      <c r="G46" s="144"/>
      <c r="H46" s="145"/>
      <c r="I46" s="145"/>
      <c r="J46" s="143">
        <f>HLOOKUP($B$9,'SAISIE DES DONNEES LM'!$D$4:$Y$140,120,FALSE)</f>
        <v>7.2472000000000003</v>
      </c>
      <c r="K46" s="144"/>
      <c r="L46" s="145"/>
      <c r="M46" s="80"/>
      <c r="N46" s="80"/>
      <c r="O46" s="95">
        <f t="shared" ref="O46:O48" si="11">IFERROR(F46/J46-1,"")</f>
        <v>4.5258858593664186E-3</v>
      </c>
      <c r="P46" s="146">
        <f t="shared" ref="P46:P48" si="12">IFERROR(F46-J46,"")</f>
        <v>3.279999999999994E-2</v>
      </c>
      <c r="Q46" s="80"/>
      <c r="R46" s="80"/>
      <c r="S46" s="80"/>
      <c r="T46" s="80"/>
      <c r="U46" s="80"/>
      <c r="V46" s="80"/>
      <c r="W46" s="80"/>
      <c r="X46" s="80"/>
      <c r="Y46" s="80"/>
      <c r="Z46" s="80"/>
      <c r="AA46" s="80"/>
    </row>
    <row r="47" spans="2:27" ht="14.4" x14ac:dyDescent="0.2">
      <c r="B47" s="312"/>
      <c r="C47" s="107" t="s">
        <v>123</v>
      </c>
      <c r="D47" s="108"/>
      <c r="F47" s="207">
        <f>HLOOKUP($B$9,'SAISIE DES DONNEES LM'!$D$4:$Y$140,58,FALSE)</f>
        <v>45808.175799999997</v>
      </c>
      <c r="G47" s="80"/>
      <c r="H47" s="80"/>
      <c r="I47" s="80"/>
      <c r="J47" s="208">
        <f>HLOOKUP($B$9,'SAISIE DES DONNEES LM'!$D$4:$Y$140,121,FALSE)</f>
        <v>49033.343500000003</v>
      </c>
      <c r="K47" s="80"/>
      <c r="L47" s="80"/>
      <c r="M47" s="147"/>
      <c r="N47" s="147"/>
      <c r="O47" s="104">
        <f t="shared" si="11"/>
        <v>-6.5774990440943593E-2</v>
      </c>
      <c r="P47" s="111">
        <f t="shared" si="12"/>
        <v>-3225.1677000000054</v>
      </c>
      <c r="Q47" s="147"/>
      <c r="R47" s="148">
        <f>HLOOKUP($B$9,'SAISIE DES DONNEES LM'!$D$4:$Y$140,37,FALSE)</f>
        <v>43296.158378</v>
      </c>
      <c r="S47" s="147"/>
      <c r="T47" s="147"/>
      <c r="U47" s="147"/>
      <c r="V47" s="147"/>
      <c r="W47" s="147"/>
      <c r="X47" s="147"/>
      <c r="Y47" s="147"/>
      <c r="Z47" s="147"/>
      <c r="AA47" s="147"/>
    </row>
    <row r="48" spans="2:27" ht="14.4" x14ac:dyDescent="0.2">
      <c r="B48" s="313"/>
      <c r="C48" s="149" t="s">
        <v>124</v>
      </c>
      <c r="D48" s="150"/>
      <c r="F48" s="151">
        <f>IFERROR($F$13/F46,"")</f>
        <v>263712.22527472529</v>
      </c>
      <c r="G48" s="152"/>
      <c r="H48" s="152"/>
      <c r="I48" s="152"/>
      <c r="J48" s="151">
        <f>IFERROR($J$13/J46,"")</f>
        <v>263637.68075946573</v>
      </c>
      <c r="K48" s="152"/>
      <c r="L48" s="152"/>
      <c r="M48" s="147"/>
      <c r="N48" s="147"/>
      <c r="O48" s="153">
        <f t="shared" si="11"/>
        <v>2.8275364524832369E-4</v>
      </c>
      <c r="P48" s="154">
        <f t="shared" si="12"/>
        <v>74.544515259563923</v>
      </c>
      <c r="Q48" s="147"/>
      <c r="R48" s="147"/>
      <c r="S48" s="147"/>
      <c r="T48" s="147"/>
      <c r="U48" s="147"/>
      <c r="V48" s="147"/>
      <c r="W48" s="147"/>
      <c r="X48" s="147"/>
      <c r="Y48" s="147"/>
      <c r="Z48" s="147"/>
      <c r="AA48" s="147"/>
    </row>
    <row r="49" spans="2:18" ht="7.2" customHeight="1" x14ac:dyDescent="0.2">
      <c r="B49" s="155"/>
      <c r="C49" s="70"/>
      <c r="D49" s="118"/>
      <c r="F49" s="157"/>
      <c r="G49" s="157"/>
      <c r="H49" s="157"/>
      <c r="I49" s="157"/>
      <c r="J49" s="157"/>
      <c r="K49" s="157"/>
      <c r="L49" s="157"/>
    </row>
    <row r="51" spans="2:18" ht="23.4" x14ac:dyDescent="0.2">
      <c r="B51" s="267" t="s">
        <v>125</v>
      </c>
      <c r="C51" s="268"/>
      <c r="D51" s="268"/>
      <c r="E51" s="268"/>
      <c r="F51" s="268"/>
      <c r="G51" s="268"/>
      <c r="H51" s="268"/>
      <c r="I51" s="268"/>
      <c r="J51" s="268"/>
      <c r="K51" s="268"/>
      <c r="L51" s="268"/>
      <c r="M51" s="268"/>
      <c r="N51" s="268"/>
      <c r="O51" s="268"/>
      <c r="P51" s="268"/>
      <c r="Q51" s="268"/>
      <c r="R51" s="268"/>
    </row>
    <row r="53" spans="2:18" x14ac:dyDescent="0.2">
      <c r="B53" s="269" t="s">
        <v>172</v>
      </c>
      <c r="C53" s="270"/>
      <c r="D53" s="270"/>
      <c r="E53" s="270"/>
      <c r="F53" s="270"/>
      <c r="G53" s="270"/>
      <c r="H53" s="270"/>
      <c r="I53" s="270"/>
      <c r="J53" s="270"/>
      <c r="K53" s="270"/>
      <c r="L53" s="270"/>
      <c r="M53" s="270"/>
      <c r="N53" s="270"/>
      <c r="O53" s="270"/>
      <c r="P53" s="270"/>
      <c r="Q53" s="270"/>
      <c r="R53" s="271"/>
    </row>
    <row r="54" spans="2:18" x14ac:dyDescent="0.2">
      <c r="B54" s="272"/>
      <c r="C54" s="273"/>
      <c r="D54" s="273"/>
      <c r="E54" s="273"/>
      <c r="F54" s="273"/>
      <c r="G54" s="273"/>
      <c r="H54" s="273"/>
      <c r="I54" s="273"/>
      <c r="J54" s="273"/>
      <c r="K54" s="273"/>
      <c r="L54" s="273"/>
      <c r="M54" s="273"/>
      <c r="N54" s="273"/>
      <c r="O54" s="273"/>
      <c r="P54" s="273"/>
      <c r="Q54" s="273"/>
      <c r="R54" s="274"/>
    </row>
    <row r="55" spans="2:18" x14ac:dyDescent="0.2">
      <c r="B55" s="272"/>
      <c r="C55" s="273"/>
      <c r="D55" s="273"/>
      <c r="E55" s="273"/>
      <c r="F55" s="273"/>
      <c r="G55" s="273"/>
      <c r="H55" s="273"/>
      <c r="I55" s="273"/>
      <c r="J55" s="273"/>
      <c r="K55" s="273"/>
      <c r="L55" s="273"/>
      <c r="M55" s="273"/>
      <c r="N55" s="273"/>
      <c r="O55" s="273"/>
      <c r="P55" s="273"/>
      <c r="Q55" s="273"/>
      <c r="R55" s="274"/>
    </row>
    <row r="56" spans="2:18" x14ac:dyDescent="0.2">
      <c r="B56" s="272"/>
      <c r="C56" s="273"/>
      <c r="D56" s="273"/>
      <c r="E56" s="273"/>
      <c r="F56" s="273"/>
      <c r="G56" s="273"/>
      <c r="H56" s="273"/>
      <c r="I56" s="273"/>
      <c r="J56" s="273"/>
      <c r="K56" s="273"/>
      <c r="L56" s="273"/>
      <c r="M56" s="273"/>
      <c r="N56" s="273"/>
      <c r="O56" s="273"/>
      <c r="P56" s="273"/>
      <c r="Q56" s="273"/>
      <c r="R56" s="274"/>
    </row>
    <row r="57" spans="2:18" x14ac:dyDescent="0.2">
      <c r="B57" s="272"/>
      <c r="C57" s="273"/>
      <c r="D57" s="273"/>
      <c r="E57" s="273"/>
      <c r="F57" s="273"/>
      <c r="G57" s="273"/>
      <c r="H57" s="273"/>
      <c r="I57" s="273"/>
      <c r="J57" s="273"/>
      <c r="K57" s="273"/>
      <c r="L57" s="273"/>
      <c r="M57" s="273"/>
      <c r="N57" s="273"/>
      <c r="O57" s="273"/>
      <c r="P57" s="273"/>
      <c r="Q57" s="273"/>
      <c r="R57" s="274"/>
    </row>
    <row r="58" spans="2:18" x14ac:dyDescent="0.2">
      <c r="B58" s="272"/>
      <c r="C58" s="273"/>
      <c r="D58" s="273"/>
      <c r="E58" s="273"/>
      <c r="F58" s="273"/>
      <c r="G58" s="273"/>
      <c r="H58" s="273"/>
      <c r="I58" s="273"/>
      <c r="J58" s="273"/>
      <c r="K58" s="273"/>
      <c r="L58" s="273"/>
      <c r="M58" s="273"/>
      <c r="N58" s="273"/>
      <c r="O58" s="273"/>
      <c r="P58" s="273"/>
      <c r="Q58" s="273"/>
      <c r="R58" s="274"/>
    </row>
    <row r="59" spans="2:18" x14ac:dyDescent="0.2">
      <c r="B59" s="272"/>
      <c r="C59" s="273"/>
      <c r="D59" s="273"/>
      <c r="E59" s="273"/>
      <c r="F59" s="273"/>
      <c r="G59" s="273"/>
      <c r="H59" s="273"/>
      <c r="I59" s="273"/>
      <c r="J59" s="273"/>
      <c r="K59" s="273"/>
      <c r="L59" s="273"/>
      <c r="M59" s="273"/>
      <c r="N59" s="273"/>
      <c r="O59" s="273"/>
      <c r="P59" s="273"/>
      <c r="Q59" s="273"/>
      <c r="R59" s="274"/>
    </row>
    <row r="60" spans="2:18" x14ac:dyDescent="0.2">
      <c r="B60" s="272"/>
      <c r="C60" s="273"/>
      <c r="D60" s="273"/>
      <c r="E60" s="273"/>
      <c r="F60" s="273"/>
      <c r="G60" s="273"/>
      <c r="H60" s="273"/>
      <c r="I60" s="273"/>
      <c r="J60" s="273"/>
      <c r="K60" s="273"/>
      <c r="L60" s="273"/>
      <c r="M60" s="273"/>
      <c r="N60" s="273"/>
      <c r="O60" s="273"/>
      <c r="P60" s="273"/>
      <c r="Q60" s="273"/>
      <c r="R60" s="274"/>
    </row>
    <row r="61" spans="2:18" x14ac:dyDescent="0.2">
      <c r="B61" s="275"/>
      <c r="C61" s="276"/>
      <c r="D61" s="276"/>
      <c r="E61" s="276"/>
      <c r="F61" s="276"/>
      <c r="G61" s="276"/>
      <c r="H61" s="276"/>
      <c r="I61" s="276"/>
      <c r="J61" s="276"/>
      <c r="K61" s="276"/>
      <c r="L61" s="276"/>
      <c r="M61" s="276"/>
      <c r="N61" s="276"/>
      <c r="O61" s="276"/>
      <c r="P61" s="276"/>
      <c r="Q61" s="276"/>
      <c r="R61" s="277"/>
    </row>
    <row r="63" spans="2:18" ht="23.4" x14ac:dyDescent="0.2">
      <c r="B63" s="267" t="s">
        <v>166</v>
      </c>
      <c r="C63" s="268"/>
      <c r="D63" s="268"/>
      <c r="E63" s="268"/>
      <c r="F63" s="268"/>
      <c r="G63" s="268"/>
      <c r="H63" s="268"/>
      <c r="I63" s="268"/>
      <c r="J63" s="268"/>
      <c r="K63" s="268"/>
      <c r="L63" s="268"/>
      <c r="M63" s="268"/>
      <c r="N63" s="268"/>
      <c r="O63" s="268"/>
      <c r="P63" s="268"/>
      <c r="Q63" s="268"/>
      <c r="R63" s="268"/>
    </row>
    <row r="64" spans="2:18" x14ac:dyDescent="0.2">
      <c r="I64" s="174"/>
      <c r="M64" s="174"/>
    </row>
    <row r="65" spans="2:18" x14ac:dyDescent="0.2">
      <c r="B65" s="269" t="s">
        <v>167</v>
      </c>
      <c r="C65" s="270"/>
      <c r="D65" s="270"/>
      <c r="E65" s="270"/>
      <c r="F65" s="270"/>
      <c r="G65" s="270"/>
      <c r="H65" s="270"/>
      <c r="I65" s="270"/>
      <c r="J65" s="270"/>
      <c r="K65" s="270"/>
      <c r="L65" s="270"/>
      <c r="M65" s="270"/>
      <c r="N65" s="270"/>
      <c r="O65" s="270"/>
      <c r="P65" s="270"/>
      <c r="Q65" s="270"/>
      <c r="R65" s="271"/>
    </row>
    <row r="66" spans="2:18" x14ac:dyDescent="0.2">
      <c r="B66" s="272"/>
      <c r="C66" s="273"/>
      <c r="D66" s="273"/>
      <c r="E66" s="273"/>
      <c r="F66" s="273"/>
      <c r="G66" s="273"/>
      <c r="H66" s="273"/>
      <c r="I66" s="273"/>
      <c r="J66" s="273"/>
      <c r="K66" s="273"/>
      <c r="L66" s="273"/>
      <c r="M66" s="273"/>
      <c r="N66" s="273"/>
      <c r="O66" s="273"/>
      <c r="P66" s="273"/>
      <c r="Q66" s="273"/>
      <c r="R66" s="274"/>
    </row>
    <row r="67" spans="2:18" x14ac:dyDescent="0.2">
      <c r="B67" s="272"/>
      <c r="C67" s="273"/>
      <c r="D67" s="273"/>
      <c r="E67" s="273"/>
      <c r="F67" s="273"/>
      <c r="G67" s="273"/>
      <c r="H67" s="273"/>
      <c r="I67" s="273"/>
      <c r="J67" s="273"/>
      <c r="K67" s="273"/>
      <c r="L67" s="273"/>
      <c r="M67" s="273"/>
      <c r="N67" s="273"/>
      <c r="O67" s="273"/>
      <c r="P67" s="273"/>
      <c r="Q67" s="273"/>
      <c r="R67" s="274"/>
    </row>
    <row r="68" spans="2:18" x14ac:dyDescent="0.2">
      <c r="B68" s="272"/>
      <c r="C68" s="273"/>
      <c r="D68" s="273"/>
      <c r="E68" s="273"/>
      <c r="F68" s="273"/>
      <c r="G68" s="273"/>
      <c r="H68" s="273"/>
      <c r="I68" s="273"/>
      <c r="J68" s="273"/>
      <c r="K68" s="273"/>
      <c r="L68" s="273"/>
      <c r="M68" s="273"/>
      <c r="N68" s="273"/>
      <c r="O68" s="273"/>
      <c r="P68" s="273"/>
      <c r="Q68" s="273"/>
      <c r="R68" s="274"/>
    </row>
    <row r="69" spans="2:18" x14ac:dyDescent="0.2">
      <c r="B69" s="272"/>
      <c r="C69" s="273"/>
      <c r="D69" s="273"/>
      <c r="E69" s="273"/>
      <c r="F69" s="273"/>
      <c r="G69" s="273"/>
      <c r="H69" s="273"/>
      <c r="I69" s="273"/>
      <c r="J69" s="273"/>
      <c r="K69" s="273"/>
      <c r="L69" s="273"/>
      <c r="M69" s="273"/>
      <c r="N69" s="273"/>
      <c r="O69" s="273"/>
      <c r="P69" s="273"/>
      <c r="Q69" s="273"/>
      <c r="R69" s="274"/>
    </row>
    <row r="70" spans="2:18" x14ac:dyDescent="0.2">
      <c r="B70" s="272"/>
      <c r="C70" s="273"/>
      <c r="D70" s="273"/>
      <c r="E70" s="273"/>
      <c r="F70" s="273"/>
      <c r="G70" s="273"/>
      <c r="H70" s="273"/>
      <c r="I70" s="273"/>
      <c r="J70" s="273"/>
      <c r="K70" s="273"/>
      <c r="L70" s="273"/>
      <c r="M70" s="273"/>
      <c r="N70" s="273"/>
      <c r="O70" s="273"/>
      <c r="P70" s="273"/>
      <c r="Q70" s="273"/>
      <c r="R70" s="274"/>
    </row>
    <row r="71" spans="2:18" x14ac:dyDescent="0.2">
      <c r="B71" s="272"/>
      <c r="C71" s="273"/>
      <c r="D71" s="273"/>
      <c r="E71" s="273"/>
      <c r="F71" s="273"/>
      <c r="G71" s="273"/>
      <c r="H71" s="273"/>
      <c r="I71" s="273"/>
      <c r="J71" s="273"/>
      <c r="K71" s="273"/>
      <c r="L71" s="273"/>
      <c r="M71" s="273"/>
      <c r="N71" s="273"/>
      <c r="O71" s="273"/>
      <c r="P71" s="273"/>
      <c r="Q71" s="273"/>
      <c r="R71" s="274"/>
    </row>
    <row r="72" spans="2:18" x14ac:dyDescent="0.2">
      <c r="B72" s="272"/>
      <c r="C72" s="273"/>
      <c r="D72" s="273"/>
      <c r="E72" s="273"/>
      <c r="F72" s="273"/>
      <c r="G72" s="273"/>
      <c r="H72" s="273"/>
      <c r="I72" s="273"/>
      <c r="J72" s="273"/>
      <c r="K72" s="273"/>
      <c r="L72" s="273"/>
      <c r="M72" s="273"/>
      <c r="N72" s="273"/>
      <c r="O72" s="273"/>
      <c r="P72" s="273"/>
      <c r="Q72" s="273"/>
      <c r="R72" s="274"/>
    </row>
    <row r="73" spans="2:18" x14ac:dyDescent="0.2">
      <c r="B73" s="272"/>
      <c r="C73" s="273"/>
      <c r="D73" s="273"/>
      <c r="E73" s="273"/>
      <c r="F73" s="273"/>
      <c r="G73" s="273"/>
      <c r="H73" s="273"/>
      <c r="I73" s="273"/>
      <c r="J73" s="273"/>
      <c r="K73" s="273"/>
      <c r="L73" s="273"/>
      <c r="M73" s="273"/>
      <c r="N73" s="273"/>
      <c r="O73" s="273"/>
      <c r="P73" s="273"/>
      <c r="Q73" s="273"/>
      <c r="R73" s="274"/>
    </row>
    <row r="74" spans="2:18" x14ac:dyDescent="0.2">
      <c r="B74" s="272"/>
      <c r="C74" s="273"/>
      <c r="D74" s="273"/>
      <c r="E74" s="273"/>
      <c r="F74" s="273"/>
      <c r="G74" s="273"/>
      <c r="H74" s="273"/>
      <c r="I74" s="273"/>
      <c r="J74" s="273"/>
      <c r="K74" s="273"/>
      <c r="L74" s="273"/>
      <c r="M74" s="273"/>
      <c r="N74" s="273"/>
      <c r="O74" s="273"/>
      <c r="P74" s="273"/>
      <c r="Q74" s="273"/>
      <c r="R74" s="274"/>
    </row>
    <row r="75" spans="2:18" x14ac:dyDescent="0.2">
      <c r="B75" s="272"/>
      <c r="C75" s="273"/>
      <c r="D75" s="273"/>
      <c r="E75" s="273"/>
      <c r="F75" s="273"/>
      <c r="G75" s="273"/>
      <c r="H75" s="273"/>
      <c r="I75" s="273"/>
      <c r="J75" s="273"/>
      <c r="K75" s="273"/>
      <c r="L75" s="273"/>
      <c r="M75" s="273"/>
      <c r="N75" s="273"/>
      <c r="O75" s="273"/>
      <c r="P75" s="273"/>
      <c r="Q75" s="273"/>
      <c r="R75" s="274"/>
    </row>
    <row r="76" spans="2:18" x14ac:dyDescent="0.2">
      <c r="B76" s="272"/>
      <c r="C76" s="273"/>
      <c r="D76" s="273"/>
      <c r="E76" s="273"/>
      <c r="F76" s="273"/>
      <c r="G76" s="273"/>
      <c r="H76" s="273"/>
      <c r="I76" s="273"/>
      <c r="J76" s="273"/>
      <c r="K76" s="273"/>
      <c r="L76" s="273"/>
      <c r="M76" s="273"/>
      <c r="N76" s="273"/>
      <c r="O76" s="273"/>
      <c r="P76" s="273"/>
      <c r="Q76" s="273"/>
      <c r="R76" s="274"/>
    </row>
    <row r="77" spans="2:18" x14ac:dyDescent="0.2">
      <c r="B77" s="272"/>
      <c r="C77" s="273"/>
      <c r="D77" s="273"/>
      <c r="E77" s="273"/>
      <c r="F77" s="273"/>
      <c r="G77" s="273"/>
      <c r="H77" s="273"/>
      <c r="I77" s="273"/>
      <c r="J77" s="273"/>
      <c r="K77" s="273"/>
      <c r="L77" s="273"/>
      <c r="M77" s="273"/>
      <c r="N77" s="273"/>
      <c r="O77" s="273"/>
      <c r="P77" s="273"/>
      <c r="Q77" s="273"/>
      <c r="R77" s="274"/>
    </row>
    <row r="78" spans="2:18" x14ac:dyDescent="0.2">
      <c r="B78" s="272"/>
      <c r="C78" s="273"/>
      <c r="D78" s="273"/>
      <c r="E78" s="273"/>
      <c r="F78" s="273"/>
      <c r="G78" s="273"/>
      <c r="H78" s="273"/>
      <c r="I78" s="273"/>
      <c r="J78" s="273"/>
      <c r="K78" s="273"/>
      <c r="L78" s="273"/>
      <c r="M78" s="273"/>
      <c r="N78" s="273"/>
      <c r="O78" s="273"/>
      <c r="P78" s="273"/>
      <c r="Q78" s="273"/>
      <c r="R78" s="274"/>
    </row>
    <row r="79" spans="2:18" x14ac:dyDescent="0.2">
      <c r="B79" s="272"/>
      <c r="C79" s="273"/>
      <c r="D79" s="273"/>
      <c r="E79" s="273"/>
      <c r="F79" s="273"/>
      <c r="G79" s="273"/>
      <c r="H79" s="273"/>
      <c r="I79" s="273"/>
      <c r="J79" s="273"/>
      <c r="K79" s="273"/>
      <c r="L79" s="273"/>
      <c r="M79" s="273"/>
      <c r="N79" s="273"/>
      <c r="O79" s="273"/>
      <c r="P79" s="273"/>
      <c r="Q79" s="273"/>
      <c r="R79" s="274"/>
    </row>
    <row r="80" spans="2:18" x14ac:dyDescent="0.2">
      <c r="B80" s="272"/>
      <c r="C80" s="273"/>
      <c r="D80" s="273"/>
      <c r="E80" s="273"/>
      <c r="F80" s="273"/>
      <c r="G80" s="273"/>
      <c r="H80" s="273"/>
      <c r="I80" s="273"/>
      <c r="J80" s="273"/>
      <c r="K80" s="273"/>
      <c r="L80" s="273"/>
      <c r="M80" s="273"/>
      <c r="N80" s="273"/>
      <c r="O80" s="273"/>
      <c r="P80" s="273"/>
      <c r="Q80" s="273"/>
      <c r="R80" s="274"/>
    </row>
    <row r="81" spans="2:18" x14ac:dyDescent="0.2">
      <c r="B81" s="272"/>
      <c r="C81" s="273"/>
      <c r="D81" s="273"/>
      <c r="E81" s="273"/>
      <c r="F81" s="273"/>
      <c r="G81" s="273"/>
      <c r="H81" s="273"/>
      <c r="I81" s="273"/>
      <c r="J81" s="273"/>
      <c r="K81" s="273"/>
      <c r="L81" s="273"/>
      <c r="M81" s="273"/>
      <c r="N81" s="273"/>
      <c r="O81" s="273"/>
      <c r="P81" s="273"/>
      <c r="Q81" s="273"/>
      <c r="R81" s="274"/>
    </row>
    <row r="82" spans="2:18" x14ac:dyDescent="0.2">
      <c r="B82" s="275"/>
      <c r="C82" s="276"/>
      <c r="D82" s="276"/>
      <c r="E82" s="276"/>
      <c r="F82" s="276"/>
      <c r="G82" s="276"/>
      <c r="H82" s="276"/>
      <c r="I82" s="276"/>
      <c r="J82" s="276"/>
      <c r="K82" s="276"/>
      <c r="L82" s="276"/>
      <c r="M82" s="276"/>
      <c r="N82" s="276"/>
      <c r="O82" s="276"/>
      <c r="P82" s="276"/>
      <c r="Q82" s="276"/>
      <c r="R82" s="277"/>
    </row>
  </sheetData>
  <mergeCells count="30">
    <mergeCell ref="B46:B48"/>
    <mergeCell ref="B51:R51"/>
    <mergeCell ref="B53:R61"/>
    <mergeCell ref="B16:R16"/>
    <mergeCell ref="B17:R17"/>
    <mergeCell ref="O18:P18"/>
    <mergeCell ref="B36:R36"/>
    <mergeCell ref="B38:B40"/>
    <mergeCell ref="B42:B44"/>
    <mergeCell ref="J14:L14"/>
    <mergeCell ref="O14:V14"/>
    <mergeCell ref="F15:H15"/>
    <mergeCell ref="J15:L15"/>
    <mergeCell ref="O15:V15"/>
    <mergeCell ref="B63:R63"/>
    <mergeCell ref="B65:R82"/>
    <mergeCell ref="B1:AA1"/>
    <mergeCell ref="B2:AA2"/>
    <mergeCell ref="B4:R7"/>
    <mergeCell ref="B9:D9"/>
    <mergeCell ref="F9:H9"/>
    <mergeCell ref="J9:L9"/>
    <mergeCell ref="O9:P9"/>
    <mergeCell ref="B11:D11"/>
    <mergeCell ref="F11:H11"/>
    <mergeCell ref="J11:L11"/>
    <mergeCell ref="C13:D13"/>
    <mergeCell ref="F13:H13"/>
    <mergeCell ref="J13:L13"/>
    <mergeCell ref="F14:H14"/>
  </mergeCells>
  <conditionalFormatting sqref="G38">
    <cfRule type="cellIs" dxfId="91" priority="85" operator="equal">
      <formula>0</formula>
    </cfRule>
  </conditionalFormatting>
  <conditionalFormatting sqref="G42">
    <cfRule type="cellIs" dxfId="90" priority="84" operator="equal">
      <formula>0</formula>
    </cfRule>
  </conditionalFormatting>
  <conditionalFormatting sqref="F46:G46">
    <cfRule type="cellIs" dxfId="89" priority="83" operator="equal">
      <formula>0</formula>
    </cfRule>
  </conditionalFormatting>
  <conditionalFormatting sqref="H38:I38">
    <cfRule type="cellIs" dxfId="88" priority="82" operator="equal">
      <formula>0</formula>
    </cfRule>
  </conditionalFormatting>
  <conditionalFormatting sqref="H42:I42">
    <cfRule type="cellIs" dxfId="87" priority="81" operator="equal">
      <formula>0</formula>
    </cfRule>
  </conditionalFormatting>
  <conditionalFormatting sqref="H46:I46">
    <cfRule type="cellIs" dxfId="86" priority="80" operator="equal">
      <formula>0</formula>
    </cfRule>
  </conditionalFormatting>
  <conditionalFormatting sqref="B16">
    <cfRule type="expression" dxfId="85" priority="79">
      <formula>$B$3&lt;&gt;""</formula>
    </cfRule>
  </conditionalFormatting>
  <conditionalFormatting sqref="F11:I11 F13:I13">
    <cfRule type="expression" dxfId="84" priority="78">
      <formula>$B$3&lt;&gt;""</formula>
    </cfRule>
  </conditionalFormatting>
  <conditionalFormatting sqref="K38">
    <cfRule type="cellIs" dxfId="83" priority="77" operator="equal">
      <formula>0</formula>
    </cfRule>
  </conditionalFormatting>
  <conditionalFormatting sqref="K42">
    <cfRule type="cellIs" dxfId="82" priority="76" operator="equal">
      <formula>0</formula>
    </cfRule>
  </conditionalFormatting>
  <conditionalFormatting sqref="J46:K46">
    <cfRule type="cellIs" dxfId="81" priority="75" operator="equal">
      <formula>0</formula>
    </cfRule>
  </conditionalFormatting>
  <conditionalFormatting sqref="L38">
    <cfRule type="cellIs" dxfId="80" priority="74" operator="equal">
      <formula>0</formula>
    </cfRule>
  </conditionalFormatting>
  <conditionalFormatting sqref="L42">
    <cfRule type="cellIs" dxfId="79" priority="73" operator="equal">
      <formula>0</formula>
    </cfRule>
  </conditionalFormatting>
  <conditionalFormatting sqref="L46">
    <cfRule type="cellIs" dxfId="78" priority="72" operator="equal">
      <formula>0</formula>
    </cfRule>
  </conditionalFormatting>
  <conditionalFormatting sqref="J11:L11">
    <cfRule type="expression" dxfId="77" priority="71">
      <formula>$B$3&lt;&gt;""</formula>
    </cfRule>
  </conditionalFormatting>
  <conditionalFormatting sqref="J13:L13">
    <cfRule type="expression" dxfId="76" priority="70">
      <formula>$B$3&lt;&gt;""</formula>
    </cfRule>
  </conditionalFormatting>
  <conditionalFormatting sqref="F14:H14">
    <cfRule type="expression" dxfId="75" priority="69">
      <formula>$B$3&lt;&gt;""</formula>
    </cfRule>
  </conditionalFormatting>
  <conditionalFormatting sqref="F15:H15">
    <cfRule type="expression" dxfId="74" priority="68">
      <formula>$B$3&lt;&gt;""</formula>
    </cfRule>
  </conditionalFormatting>
  <conditionalFormatting sqref="J15:L15">
    <cfRule type="expression" dxfId="73" priority="66">
      <formula>$B$3&lt;&gt;""</formula>
    </cfRule>
  </conditionalFormatting>
  <conditionalFormatting sqref="O29">
    <cfRule type="expression" dxfId="72" priority="63" stopIfTrue="1">
      <formula>$B$3&lt;&gt;""</formula>
    </cfRule>
  </conditionalFormatting>
  <conditionalFormatting sqref="O29">
    <cfRule type="cellIs" dxfId="71" priority="64" operator="lessThan">
      <formula>0</formula>
    </cfRule>
    <cfRule type="cellIs" dxfId="70" priority="65" operator="greaterThanOrEqual">
      <formula>0</formula>
    </cfRule>
  </conditionalFormatting>
  <conditionalFormatting sqref="O19:O28">
    <cfRule type="expression" dxfId="69" priority="60" stopIfTrue="1">
      <formula>$B$3&lt;&gt;""</formula>
    </cfRule>
  </conditionalFormatting>
  <conditionalFormatting sqref="O19:O28">
    <cfRule type="cellIs" dxfId="68" priority="61" operator="lessThan">
      <formula>0</formula>
    </cfRule>
    <cfRule type="cellIs" dxfId="67" priority="62" operator="greaterThanOrEqual">
      <formula>0</formula>
    </cfRule>
  </conditionalFormatting>
  <conditionalFormatting sqref="P46:P48">
    <cfRule type="expression" dxfId="66" priority="30" stopIfTrue="1">
      <formula>$B$3&lt;&gt;""</formula>
    </cfRule>
  </conditionalFormatting>
  <conditionalFormatting sqref="P46:P48">
    <cfRule type="cellIs" dxfId="65" priority="31" operator="lessThan">
      <formula>0</formula>
    </cfRule>
    <cfRule type="cellIs" dxfId="64" priority="32" operator="greaterThanOrEqual">
      <formula>0</formula>
    </cfRule>
  </conditionalFormatting>
  <conditionalFormatting sqref="O30:O31">
    <cfRule type="expression" dxfId="63" priority="57" stopIfTrue="1">
      <formula>$B$3&lt;&gt;""</formula>
    </cfRule>
  </conditionalFormatting>
  <conditionalFormatting sqref="O30:O31">
    <cfRule type="cellIs" dxfId="62" priority="58" operator="lessThan">
      <formula>0</formula>
    </cfRule>
    <cfRule type="cellIs" dxfId="61" priority="59" operator="greaterThanOrEqual">
      <formula>0</formula>
    </cfRule>
  </conditionalFormatting>
  <conditionalFormatting sqref="O13">
    <cfRule type="expression" dxfId="60" priority="54" stopIfTrue="1">
      <formula>$B$3&lt;&gt;""</formula>
    </cfRule>
  </conditionalFormatting>
  <conditionalFormatting sqref="O13">
    <cfRule type="cellIs" dxfId="59" priority="55" operator="lessThan">
      <formula>0</formula>
    </cfRule>
    <cfRule type="cellIs" dxfId="58" priority="56" operator="greaterThanOrEqual">
      <formula>0</formula>
    </cfRule>
  </conditionalFormatting>
  <conditionalFormatting sqref="O11">
    <cfRule type="expression" dxfId="57" priority="51" stopIfTrue="1">
      <formula>$B$3&lt;&gt;""</formula>
    </cfRule>
  </conditionalFormatting>
  <conditionalFormatting sqref="O11">
    <cfRule type="cellIs" dxfId="56" priority="52" operator="lessThan">
      <formula>0</formula>
    </cfRule>
    <cfRule type="cellIs" dxfId="55" priority="53" operator="greaterThanOrEqual">
      <formula>0</formula>
    </cfRule>
  </conditionalFormatting>
  <conditionalFormatting sqref="O46:O48">
    <cfRule type="expression" dxfId="54" priority="48" stopIfTrue="1">
      <formula>$B$3&lt;&gt;""</formula>
    </cfRule>
  </conditionalFormatting>
  <conditionalFormatting sqref="O46:O48">
    <cfRule type="cellIs" dxfId="53" priority="49" operator="lessThan">
      <formula>0</formula>
    </cfRule>
    <cfRule type="cellIs" dxfId="52" priority="50" operator="greaterThanOrEqual">
      <formula>0</formula>
    </cfRule>
  </conditionalFormatting>
  <conditionalFormatting sqref="P30:P31">
    <cfRule type="expression" dxfId="51" priority="33" stopIfTrue="1">
      <formula>$B$3&lt;&gt;""</formula>
    </cfRule>
  </conditionalFormatting>
  <conditionalFormatting sqref="P30:P31">
    <cfRule type="cellIs" dxfId="50" priority="34" operator="lessThan">
      <formula>0</formula>
    </cfRule>
    <cfRule type="cellIs" dxfId="49" priority="35" operator="greaterThanOrEqual">
      <formula>0</formula>
    </cfRule>
  </conditionalFormatting>
  <conditionalFormatting sqref="P11">
    <cfRule type="expression" dxfId="48" priority="45" stopIfTrue="1">
      <formula>$B$3&lt;&gt;""</formula>
    </cfRule>
  </conditionalFormatting>
  <conditionalFormatting sqref="P11">
    <cfRule type="cellIs" dxfId="47" priority="46" operator="lessThan">
      <formula>0</formula>
    </cfRule>
    <cfRule type="cellIs" dxfId="46" priority="47" operator="greaterThanOrEqual">
      <formula>0</formula>
    </cfRule>
  </conditionalFormatting>
  <conditionalFormatting sqref="P13">
    <cfRule type="expression" dxfId="45" priority="42" stopIfTrue="1">
      <formula>$B$3&lt;&gt;""</formula>
    </cfRule>
  </conditionalFormatting>
  <conditionalFormatting sqref="P13">
    <cfRule type="cellIs" dxfId="44" priority="43" operator="lessThan">
      <formula>0</formula>
    </cfRule>
    <cfRule type="cellIs" dxfId="43" priority="44" operator="greaterThanOrEqual">
      <formula>0</formula>
    </cfRule>
  </conditionalFormatting>
  <conditionalFormatting sqref="P19:P28">
    <cfRule type="expression" dxfId="42" priority="36" stopIfTrue="1">
      <formula>$B$3&lt;&gt;""</formula>
    </cfRule>
  </conditionalFormatting>
  <conditionalFormatting sqref="P19:P28">
    <cfRule type="cellIs" dxfId="41" priority="37" operator="lessThan">
      <formula>0</formula>
    </cfRule>
    <cfRule type="cellIs" dxfId="40" priority="38" operator="greaterThanOrEqual">
      <formula>0</formula>
    </cfRule>
  </conditionalFormatting>
  <conditionalFormatting sqref="P29">
    <cfRule type="expression" dxfId="39" priority="39" stopIfTrue="1">
      <formula>$B$3&lt;&gt;""</formula>
    </cfRule>
  </conditionalFormatting>
  <conditionalFormatting sqref="P29">
    <cfRule type="cellIs" dxfId="38" priority="40" operator="lessThan">
      <formula>0</formula>
    </cfRule>
    <cfRule type="cellIs" dxfId="37" priority="41" operator="greaterThanOrEqual">
      <formula>0</formula>
    </cfRule>
  </conditionalFormatting>
  <conditionalFormatting sqref="F11:L11">
    <cfRule type="expression" dxfId="36" priority="86">
      <formula>#REF!&lt;=0</formula>
    </cfRule>
    <cfRule type="expression" dxfId="35" priority="87">
      <formula>#REF!&gt;0</formula>
    </cfRule>
  </conditionalFormatting>
  <conditionalFormatting sqref="I31 H29:I29 H19:H28">
    <cfRule type="expression" dxfId="34" priority="88">
      <formula>#REF!&lt;=0</formula>
    </cfRule>
    <cfRule type="expression" dxfId="33" priority="89">
      <formula>#REF!&gt;0</formula>
    </cfRule>
  </conditionalFormatting>
  <conditionalFormatting sqref="R9">
    <cfRule type="expression" dxfId="32" priority="90">
      <formula>#REF!&lt;&gt;""</formula>
    </cfRule>
  </conditionalFormatting>
  <conditionalFormatting sqref="R11">
    <cfRule type="expression" dxfId="31" priority="91">
      <formula>#REF!&lt;&gt;""</formula>
    </cfRule>
  </conditionalFormatting>
  <conditionalFormatting sqref="I30">
    <cfRule type="expression" dxfId="30" priority="28">
      <formula>#REF!&lt;=0</formula>
    </cfRule>
    <cfRule type="expression" dxfId="29" priority="29">
      <formula>#REF!&gt;0</formula>
    </cfRule>
  </conditionalFormatting>
  <conditionalFormatting sqref="O32">
    <cfRule type="expression" dxfId="28" priority="25" stopIfTrue="1">
      <formula>$B$3&lt;&gt;""</formula>
    </cfRule>
  </conditionalFormatting>
  <conditionalFormatting sqref="O32">
    <cfRule type="cellIs" dxfId="27" priority="26" operator="lessThan">
      <formula>0</formula>
    </cfRule>
    <cfRule type="cellIs" dxfId="26" priority="27" operator="greaterThanOrEqual">
      <formula>0</formula>
    </cfRule>
  </conditionalFormatting>
  <conditionalFormatting sqref="P32">
    <cfRule type="expression" dxfId="25" priority="22" stopIfTrue="1">
      <formula>$B$3&lt;&gt;""</formula>
    </cfRule>
  </conditionalFormatting>
  <conditionalFormatting sqref="P32">
    <cfRule type="cellIs" dxfId="24" priority="23" operator="lessThan">
      <formula>0</formula>
    </cfRule>
    <cfRule type="cellIs" dxfId="23" priority="24" operator="greaterThanOrEqual">
      <formula>0</formula>
    </cfRule>
  </conditionalFormatting>
  <conditionalFormatting sqref="L19:L28">
    <cfRule type="expression" dxfId="22" priority="20">
      <formula>#REF!&lt;=0</formula>
    </cfRule>
    <cfRule type="expression" dxfId="21" priority="21">
      <formula>#REF!&gt;0</formula>
    </cfRule>
  </conditionalFormatting>
  <conditionalFormatting sqref="L29">
    <cfRule type="expression" dxfId="20" priority="92">
      <formula>#REF!&lt;=0</formula>
    </cfRule>
    <cfRule type="expression" dxfId="19" priority="93">
      <formula>#REF!&gt;0</formula>
    </cfRule>
  </conditionalFormatting>
  <conditionalFormatting sqref="F38">
    <cfRule type="cellIs" dxfId="18" priority="19" operator="equal">
      <formula>0</formula>
    </cfRule>
  </conditionalFormatting>
  <conditionalFormatting sqref="F42">
    <cfRule type="cellIs" dxfId="17" priority="18" operator="equal">
      <formula>0</formula>
    </cfRule>
  </conditionalFormatting>
  <conditionalFormatting sqref="J38">
    <cfRule type="cellIs" dxfId="16" priority="17" operator="equal">
      <formula>0</formula>
    </cfRule>
  </conditionalFormatting>
  <conditionalFormatting sqref="J42">
    <cfRule type="cellIs" dxfId="15" priority="16" operator="equal">
      <formula>0</formula>
    </cfRule>
  </conditionalFormatting>
  <conditionalFormatting sqref="P38:P40">
    <cfRule type="expression" dxfId="14" priority="10" stopIfTrue="1">
      <formula>$B$3&lt;&gt;""</formula>
    </cfRule>
  </conditionalFormatting>
  <conditionalFormatting sqref="P38:P40">
    <cfRule type="cellIs" dxfId="13" priority="11" operator="lessThan">
      <formula>0</formula>
    </cfRule>
    <cfRule type="cellIs" dxfId="12" priority="12" operator="greaterThanOrEqual">
      <formula>0</formula>
    </cfRule>
  </conditionalFormatting>
  <conditionalFormatting sqref="O38:O40">
    <cfRule type="expression" dxfId="11" priority="13" stopIfTrue="1">
      <formula>$B$3&lt;&gt;""</formula>
    </cfRule>
  </conditionalFormatting>
  <conditionalFormatting sqref="O38:O40">
    <cfRule type="cellIs" dxfId="10" priority="14" operator="lessThan">
      <formula>0</formula>
    </cfRule>
    <cfRule type="cellIs" dxfId="9" priority="15" operator="greaterThanOrEqual">
      <formula>0</formula>
    </cfRule>
  </conditionalFormatting>
  <conditionalFormatting sqref="P42:P44">
    <cfRule type="expression" dxfId="8" priority="4" stopIfTrue="1">
      <formula>$B$3&lt;&gt;""</formula>
    </cfRule>
  </conditionalFormatting>
  <conditionalFormatting sqref="P42:P44">
    <cfRule type="cellIs" dxfId="7" priority="5" operator="lessThan">
      <formula>0</formula>
    </cfRule>
    <cfRule type="cellIs" dxfId="6" priority="6" operator="greaterThanOrEqual">
      <formula>0</formula>
    </cfRule>
  </conditionalFormatting>
  <conditionalFormatting sqref="O42:O44">
    <cfRule type="expression" dxfId="5" priority="7" stopIfTrue="1">
      <formula>$B$3&lt;&gt;""</formula>
    </cfRule>
  </conditionalFormatting>
  <conditionalFormatting sqref="O42:O44">
    <cfRule type="cellIs" dxfId="4" priority="8" operator="lessThan">
      <formula>0</formula>
    </cfRule>
    <cfRule type="cellIs" dxfId="3" priority="9" operator="greaterThanOrEqual">
      <formula>0</formula>
    </cfRule>
  </conditionalFormatting>
  <conditionalFormatting sqref="R39">
    <cfRule type="expression" dxfId="2" priority="3">
      <formula>#REF!&lt;&gt;""</formula>
    </cfRule>
  </conditionalFormatting>
  <conditionalFormatting sqref="R47">
    <cfRule type="expression" dxfId="1" priority="2">
      <formula>#REF!&lt;&gt;""</formula>
    </cfRule>
  </conditionalFormatting>
  <conditionalFormatting sqref="J14:L14">
    <cfRule type="expression" dxfId="0" priority="1">
      <formula>$B$3&lt;&gt;""</formula>
    </cfRule>
  </conditionalFormatting>
  <pageMargins left="0.7" right="0.7" top="0.75" bottom="0.75" header="0.3" footer="0.3"/>
  <pageSetup paperSize="9" scale="3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'SAISIE DES DONNEES LM'!$D$4:$H$4</xm:f>
          </x14:formula1>
          <xm:sqref>B9:D9</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Fiche de contenu détaillée</vt:lpstr>
      <vt:lpstr>SAISIE DES DONNEES LM</vt:lpstr>
      <vt:lpstr>Maquette LM</vt:lpstr>
      <vt:lpstr>'Maquette LM'!Titre_Graph_LM</vt:lpstr>
      <vt:lpstr>'Fiche de contenu détaillée'!Zone_d_impression</vt:lpstr>
      <vt:lpstr>'Maquette LM'!Zone_d_impression</vt:lpstr>
      <vt:lpstr>'SAISIE DES DONNEES LM'!Zone_d_impression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L'Hostis</dc:creator>
  <cp:lastModifiedBy>Agnès TEUTSCH</cp:lastModifiedBy>
  <cp:lastPrinted>2021-08-27T08:48:52Z</cp:lastPrinted>
  <dcterms:created xsi:type="dcterms:W3CDTF">2021-01-08T10:31:51Z</dcterms:created>
  <dcterms:modified xsi:type="dcterms:W3CDTF">2021-08-27T08:49:04Z</dcterms:modified>
</cp:coreProperties>
</file>